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18195" windowHeight="11220"/>
  </bookViews>
  <sheets>
    <sheet name="Таблица 1" sheetId="1" r:id="rId1"/>
    <sheet name="Таблица 2" sheetId="6" r:id="rId2"/>
    <sheet name="Таблица 3" sheetId="7" r:id="rId3"/>
    <sheet name="Таблица 4" sheetId="8" r:id="rId4"/>
    <sheet name="Таблица 5" sheetId="5" r:id="rId5"/>
    <sheet name="Прочее" sheetId="10" r:id="rId6"/>
    <sheet name="КОСГУ" sheetId="11" r:id="rId7"/>
  </sheets>
  <externalReferences>
    <externalReference r:id="rId8"/>
    <externalReference r:id="rId9"/>
  </externalReferences>
  <calcPr calcId="145621"/>
</workbook>
</file>

<file path=xl/calcChain.xml><?xml version="1.0" encoding="utf-8"?>
<calcChain xmlns="http://schemas.openxmlformats.org/spreadsheetml/2006/main">
  <c r="O11" i="1" l="1"/>
  <c r="O8" i="1"/>
  <c r="L9" i="10" l="1"/>
  <c r="L8" i="10"/>
  <c r="L7" i="10"/>
  <c r="L6" i="10"/>
  <c r="L5" i="10"/>
  <c r="L4" i="10"/>
  <c r="L3" i="10"/>
  <c r="L2" i="10"/>
  <c r="L1" i="10"/>
  <c r="I11" i="10"/>
  <c r="J9" i="10"/>
  <c r="H9" i="10"/>
  <c r="I68" i="6" l="1"/>
  <c r="F26" i="8" l="1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F10" i="8"/>
  <c r="E10" i="8"/>
  <c r="N17" i="1" l="1"/>
  <c r="P8" i="7"/>
  <c r="O8" i="7"/>
  <c r="N11" i="1" l="1"/>
  <c r="P9" i="6"/>
  <c r="Q9" i="1" l="1"/>
  <c r="Q8" i="1"/>
  <c r="E17" i="11" l="1"/>
  <c r="D16" i="11"/>
  <c r="D10" i="11"/>
  <c r="D5" i="11"/>
  <c r="D4" i="11"/>
  <c r="D2" i="11"/>
  <c r="AD18" i="11" l="1"/>
  <c r="AD17" i="11"/>
  <c r="AD16" i="11"/>
  <c r="AD15" i="11"/>
  <c r="AD14" i="11"/>
  <c r="AD13" i="11"/>
  <c r="AD12" i="11"/>
  <c r="AD11" i="11"/>
  <c r="AD10" i="11"/>
  <c r="AD9" i="11"/>
  <c r="AD8" i="11"/>
  <c r="AD7" i="11"/>
  <c r="AD6" i="11"/>
  <c r="AD5" i="11"/>
  <c r="AD4" i="11"/>
  <c r="AD3" i="11"/>
  <c r="AD2" i="11"/>
  <c r="Z10" i="11"/>
  <c r="Y16" i="11"/>
  <c r="AC19" i="11"/>
  <c r="AB19" i="11"/>
  <c r="AA19" i="11"/>
  <c r="U16" i="11"/>
  <c r="U9" i="11"/>
  <c r="T16" i="11"/>
  <c r="T19" i="11" s="1"/>
  <c r="T17" i="11"/>
  <c r="S16" i="11"/>
  <c r="H16" i="11"/>
  <c r="H10" i="11"/>
  <c r="H9" i="11"/>
  <c r="H17" i="11"/>
  <c r="Z19" i="11"/>
  <c r="Y19" i="11"/>
  <c r="X19" i="11"/>
  <c r="W19" i="11"/>
  <c r="V19" i="11"/>
  <c r="U19" i="11"/>
  <c r="S19" i="11"/>
  <c r="R19" i="11"/>
  <c r="Q19" i="11"/>
  <c r="P19" i="11"/>
  <c r="O19" i="11"/>
  <c r="N19" i="11"/>
  <c r="M19" i="11"/>
  <c r="L19" i="11"/>
  <c r="K19" i="11"/>
  <c r="J19" i="11"/>
  <c r="I19" i="11"/>
  <c r="G19" i="11"/>
  <c r="F10" i="11"/>
  <c r="F19" i="11" s="1"/>
  <c r="E19" i="11"/>
  <c r="D19" i="11"/>
  <c r="C19" i="11"/>
  <c r="D30" i="10"/>
  <c r="D28" i="10"/>
  <c r="AD19" i="11" l="1"/>
  <c r="AE3" i="11" s="1"/>
  <c r="AE14" i="11"/>
  <c r="AE6" i="11"/>
  <c r="AE15" i="11"/>
  <c r="AE7" i="11"/>
  <c r="H19" i="11"/>
  <c r="F6" i="10"/>
  <c r="F8" i="10" s="1"/>
  <c r="J27" i="6"/>
  <c r="J28" i="6"/>
  <c r="J29" i="6"/>
  <c r="J30" i="6"/>
  <c r="F4" i="10"/>
  <c r="AE11" i="11" l="1"/>
  <c r="AE2" i="11"/>
  <c r="AE10" i="11"/>
  <c r="AE18" i="11"/>
  <c r="AE5" i="11"/>
  <c r="AE9" i="11"/>
  <c r="AE13" i="11"/>
  <c r="AE17" i="11"/>
  <c r="AE4" i="11"/>
  <c r="AE8" i="11"/>
  <c r="AE12" i="11"/>
  <c r="AE16" i="11"/>
  <c r="H13" i="1"/>
  <c r="E23" i="1"/>
  <c r="E22" i="1"/>
  <c r="E21" i="1"/>
  <c r="E20" i="1"/>
  <c r="E19" i="1"/>
  <c r="E18" i="1"/>
  <c r="E17" i="1"/>
  <c r="E16" i="1"/>
  <c r="E15" i="1"/>
  <c r="E14" i="1"/>
  <c r="E13" i="1"/>
  <c r="E10" i="1"/>
  <c r="E9" i="1"/>
  <c r="E11" i="1"/>
  <c r="M26" i="5"/>
  <c r="K26" i="5"/>
  <c r="I26" i="5"/>
  <c r="G26" i="5"/>
  <c r="E26" i="5"/>
  <c r="D26" i="5"/>
  <c r="J12" i="5"/>
  <c r="J11" i="5"/>
  <c r="G11" i="5"/>
  <c r="I11" i="5"/>
  <c r="I12" i="5"/>
  <c r="E24" i="1" l="1"/>
  <c r="C23" i="5"/>
  <c r="C22" i="5"/>
  <c r="C21" i="5"/>
  <c r="C20" i="5"/>
  <c r="C19" i="5"/>
  <c r="C18" i="5"/>
  <c r="C17" i="5"/>
  <c r="C16" i="5"/>
  <c r="C24" i="5"/>
  <c r="C25" i="5"/>
  <c r="C15" i="5"/>
  <c r="A11" i="10"/>
  <c r="D10" i="1" s="1"/>
  <c r="A5" i="10"/>
  <c r="D9" i="1" s="1"/>
  <c r="I9" i="7"/>
  <c r="E9" i="7"/>
  <c r="D9" i="7"/>
  <c r="B26" i="8"/>
  <c r="B25" i="8"/>
  <c r="B24" i="8"/>
  <c r="G24" i="8" s="1"/>
  <c r="B23" i="8"/>
  <c r="B22" i="8"/>
  <c r="B21" i="8"/>
  <c r="B20" i="8"/>
  <c r="G20" i="8" s="1"/>
  <c r="B19" i="8"/>
  <c r="B18" i="8"/>
  <c r="B17" i="8"/>
  <c r="B16" i="8"/>
  <c r="G16" i="8" s="1"/>
  <c r="B15" i="8"/>
  <c r="B14" i="8"/>
  <c r="B13" i="8"/>
  <c r="B12" i="8"/>
  <c r="G12" i="8" s="1"/>
  <c r="B11" i="8"/>
  <c r="B10" i="8"/>
  <c r="G10" i="8" s="1"/>
  <c r="H14" i="8" l="1"/>
  <c r="G14" i="8"/>
  <c r="H18" i="8"/>
  <c r="G18" i="8"/>
  <c r="H22" i="8"/>
  <c r="G22" i="8"/>
  <c r="H26" i="8"/>
  <c r="G26" i="8"/>
  <c r="H11" i="8"/>
  <c r="G11" i="8"/>
  <c r="H13" i="8"/>
  <c r="G13" i="8"/>
  <c r="H15" i="8"/>
  <c r="G15" i="8"/>
  <c r="H17" i="8"/>
  <c r="G17" i="8"/>
  <c r="H19" i="8"/>
  <c r="G19" i="8"/>
  <c r="H21" i="8"/>
  <c r="G21" i="8"/>
  <c r="H23" i="8"/>
  <c r="G23" i="8"/>
  <c r="H25" i="8"/>
  <c r="G25" i="8"/>
  <c r="C26" i="5"/>
  <c r="A13" i="10"/>
  <c r="C11" i="5" s="1"/>
  <c r="H12" i="8"/>
  <c r="H16" i="8"/>
  <c r="H20" i="8"/>
  <c r="H24" i="8"/>
  <c r="H10" i="8"/>
  <c r="D58" i="7"/>
  <c r="D56" i="7"/>
  <c r="D49" i="7"/>
  <c r="D31" i="7"/>
  <c r="D28" i="7"/>
  <c r="I22" i="7"/>
  <c r="E22" i="7"/>
  <c r="D24" i="7"/>
  <c r="D22" i="7" s="1"/>
  <c r="J24" i="7"/>
  <c r="D21" i="7"/>
  <c r="D10" i="7"/>
  <c r="I52" i="7"/>
  <c r="I37" i="7"/>
  <c r="I13" i="7"/>
  <c r="J13" i="7" s="1"/>
  <c r="C59" i="7"/>
  <c r="C58" i="7"/>
  <c r="C56" i="7"/>
  <c r="C55" i="7"/>
  <c r="C53" i="7"/>
  <c r="C52" i="7"/>
  <c r="C51" i="7"/>
  <c r="C50" i="7"/>
  <c r="C49" i="7"/>
  <c r="C47" i="7"/>
  <c r="C45" i="7"/>
  <c r="C44" i="7"/>
  <c r="C43" i="7"/>
  <c r="C42" i="7"/>
  <c r="C39" i="7"/>
  <c r="C37" i="7"/>
  <c r="C36" i="7"/>
  <c r="C35" i="7"/>
  <c r="C33" i="7"/>
  <c r="C31" i="7"/>
  <c r="C30" i="7"/>
  <c r="C28" i="7"/>
  <c r="C27" i="7"/>
  <c r="C26" i="7"/>
  <c r="C23" i="7"/>
  <c r="C21" i="7"/>
  <c r="C20" i="7"/>
  <c r="C18" i="7"/>
  <c r="C16" i="7"/>
  <c r="C14" i="7"/>
  <c r="C12" i="7"/>
  <c r="C11" i="7"/>
  <c r="C10" i="7"/>
  <c r="C9" i="7" l="1"/>
  <c r="L13" i="7"/>
  <c r="I28" i="6"/>
  <c r="I62" i="6"/>
  <c r="I47" i="6"/>
  <c r="L47" i="6" s="1"/>
  <c r="I41" i="6"/>
  <c r="L41" i="6"/>
  <c r="J41" i="6"/>
  <c r="L35" i="6"/>
  <c r="J35" i="6"/>
  <c r="L38" i="6"/>
  <c r="I37" i="6"/>
  <c r="M24" i="6"/>
  <c r="L24" i="6"/>
  <c r="J24" i="6"/>
  <c r="M23" i="6"/>
  <c r="L23" i="6"/>
  <c r="J23" i="6"/>
  <c r="I22" i="6"/>
  <c r="E22" i="6"/>
  <c r="C22" i="6"/>
  <c r="E10" i="6"/>
  <c r="L12" i="6"/>
  <c r="J12" i="6"/>
  <c r="C66" i="6"/>
  <c r="C64" i="6"/>
  <c r="M64" i="6" s="1"/>
  <c r="C63" i="6"/>
  <c r="C62" i="6"/>
  <c r="C60" i="6"/>
  <c r="C59" i="6"/>
  <c r="C58" i="6"/>
  <c r="C56" i="6"/>
  <c r="C55" i="6"/>
  <c r="C54" i="6"/>
  <c r="C52" i="6"/>
  <c r="C51" i="6"/>
  <c r="C50" i="6"/>
  <c r="C49" i="6"/>
  <c r="C48" i="6"/>
  <c r="C47" i="6"/>
  <c r="C43" i="6"/>
  <c r="C40" i="6"/>
  <c r="J47" i="6" l="1"/>
  <c r="J38" i="6"/>
  <c r="C39" i="6"/>
  <c r="C37" i="6"/>
  <c r="C35" i="6"/>
  <c r="M35" i="6" s="1"/>
  <c r="C34" i="6"/>
  <c r="C30" i="6"/>
  <c r="C27" i="6"/>
  <c r="C26" i="6"/>
  <c r="C25" i="6"/>
  <c r="C21" i="6"/>
  <c r="C20" i="6"/>
  <c r="M20" i="6" s="1"/>
  <c r="C19" i="6"/>
  <c r="C18" i="6"/>
  <c r="C14" i="6"/>
  <c r="C13" i="6"/>
  <c r="C11" i="6"/>
  <c r="D27" i="8" l="1"/>
  <c r="C27" i="8"/>
  <c r="B27" i="8"/>
  <c r="H27" i="8" s="1"/>
  <c r="F27" i="8" l="1"/>
  <c r="I58" i="7"/>
  <c r="I56" i="7"/>
  <c r="I55" i="7"/>
  <c r="I50" i="7"/>
  <c r="I30" i="7"/>
  <c r="I20" i="7"/>
  <c r="O16" i="7"/>
  <c r="P16" i="7" s="1"/>
  <c r="C32" i="7"/>
  <c r="L51" i="6"/>
  <c r="J51" i="6"/>
  <c r="I10" i="6"/>
  <c r="M51" i="6"/>
  <c r="D23" i="1"/>
  <c r="D22" i="1"/>
  <c r="D21" i="1"/>
  <c r="D20" i="1"/>
  <c r="D19" i="1"/>
  <c r="D18" i="1"/>
  <c r="D17" i="1"/>
  <c r="D16" i="1"/>
  <c r="D15" i="1"/>
  <c r="D14" i="1"/>
  <c r="D13" i="1"/>
  <c r="D24" i="1" l="1"/>
  <c r="C32" i="6"/>
  <c r="C10" i="6"/>
  <c r="C17" i="6"/>
  <c r="C9" i="1" l="1"/>
  <c r="D11" i="1"/>
  <c r="F12" i="5"/>
  <c r="F11" i="5"/>
  <c r="L12" i="5"/>
  <c r="L11" i="5"/>
  <c r="J26" i="5"/>
  <c r="J13" i="5"/>
  <c r="H13" i="5"/>
  <c r="D12" i="5"/>
  <c r="D11" i="5"/>
  <c r="C13" i="5"/>
  <c r="L13" i="5" l="1"/>
  <c r="D13" i="5"/>
  <c r="O59" i="7"/>
  <c r="P59" i="7" s="1"/>
  <c r="O58" i="7"/>
  <c r="P58" i="7" s="1"/>
  <c r="O56" i="7"/>
  <c r="P56" i="7" s="1"/>
  <c r="O55" i="7"/>
  <c r="P55" i="7" s="1"/>
  <c r="O53" i="7"/>
  <c r="P53" i="7" s="1"/>
  <c r="O52" i="7"/>
  <c r="P52" i="7" s="1"/>
  <c r="O51" i="7"/>
  <c r="P51" i="7" s="1"/>
  <c r="O50" i="7"/>
  <c r="P50" i="7" s="1"/>
  <c r="O49" i="7"/>
  <c r="P49" i="7" s="1"/>
  <c r="O47" i="7"/>
  <c r="P47" i="7" s="1"/>
  <c r="O45" i="7"/>
  <c r="P45" i="7" s="1"/>
  <c r="O44" i="7"/>
  <c r="P44" i="7" s="1"/>
  <c r="O43" i="7"/>
  <c r="P43" i="7" s="1"/>
  <c r="O42" i="7"/>
  <c r="P42" i="7" s="1"/>
  <c r="O39" i="7"/>
  <c r="P39" i="7" s="1"/>
  <c r="O37" i="7"/>
  <c r="P37" i="7" s="1"/>
  <c r="O36" i="7"/>
  <c r="P36" i="7" s="1"/>
  <c r="O35" i="7"/>
  <c r="P35" i="7" s="1"/>
  <c r="O33" i="7"/>
  <c r="P33" i="7" s="1"/>
  <c r="O32" i="7"/>
  <c r="P32" i="7" s="1"/>
  <c r="O31" i="7"/>
  <c r="P31" i="7" s="1"/>
  <c r="O30" i="7"/>
  <c r="P30" i="7" s="1"/>
  <c r="O29" i="7"/>
  <c r="P29" i="7" s="1"/>
  <c r="O28" i="7"/>
  <c r="P28" i="7" s="1"/>
  <c r="O27" i="7"/>
  <c r="P27" i="7" s="1"/>
  <c r="O26" i="7"/>
  <c r="P26" i="7" s="1"/>
  <c r="O23" i="7"/>
  <c r="P23" i="7" s="1"/>
  <c r="O21" i="7"/>
  <c r="P21" i="7" s="1"/>
  <c r="O20" i="7"/>
  <c r="P20" i="7" s="1"/>
  <c r="O18" i="7"/>
  <c r="P18" i="7" s="1"/>
  <c r="O17" i="7"/>
  <c r="P17" i="7" s="1"/>
  <c r="O14" i="7"/>
  <c r="P14" i="7" s="1"/>
  <c r="O13" i="7"/>
  <c r="P13" i="7" s="1"/>
  <c r="O12" i="7"/>
  <c r="P12" i="7" s="1"/>
  <c r="O11" i="7"/>
  <c r="P11" i="7" s="1"/>
  <c r="O10" i="7"/>
  <c r="P10" i="7" s="1"/>
  <c r="G27" i="8" l="1"/>
  <c r="E27" i="8"/>
  <c r="I64" i="6" l="1"/>
  <c r="L64" i="6" s="1"/>
  <c r="H57" i="6"/>
  <c r="H28" i="6" s="1"/>
  <c r="G57" i="6"/>
  <c r="G28" i="6" s="1"/>
  <c r="F57" i="6"/>
  <c r="F28" i="6" s="1"/>
  <c r="E57" i="6"/>
  <c r="C57" i="6"/>
  <c r="I61" i="6"/>
  <c r="I59" i="6"/>
  <c r="I53" i="6"/>
  <c r="I48" i="6"/>
  <c r="E32" i="6"/>
  <c r="I34" i="6"/>
  <c r="I30" i="6"/>
  <c r="M30" i="6" s="1"/>
  <c r="L30" i="6" l="1"/>
  <c r="I57" i="6"/>
  <c r="P57" i="6" s="1"/>
  <c r="Q57" i="6" s="1"/>
  <c r="J64" i="6"/>
  <c r="I32" i="6"/>
  <c r="P32" i="6" s="1"/>
  <c r="Q32" i="6" s="1"/>
  <c r="J20" i="6"/>
  <c r="L20" i="6"/>
  <c r="L11" i="6"/>
  <c r="F13" i="1" l="1"/>
  <c r="K59" i="7"/>
  <c r="K58" i="7"/>
  <c r="K56" i="7"/>
  <c r="K55" i="7"/>
  <c r="K53" i="7"/>
  <c r="K52" i="7"/>
  <c r="K51" i="7"/>
  <c r="K50" i="7"/>
  <c r="K49" i="7"/>
  <c r="K47" i="7"/>
  <c r="K45" i="7"/>
  <c r="K44" i="7"/>
  <c r="K43" i="7"/>
  <c r="K42" i="7"/>
  <c r="K39" i="7"/>
  <c r="K37" i="7"/>
  <c r="K36" i="7"/>
  <c r="K35" i="7"/>
  <c r="K33" i="7"/>
  <c r="K32" i="7"/>
  <c r="K31" i="7"/>
  <c r="K30" i="7"/>
  <c r="K28" i="7"/>
  <c r="K26" i="7"/>
  <c r="K23" i="7"/>
  <c r="K21" i="7"/>
  <c r="K20" i="7"/>
  <c r="K18" i="7"/>
  <c r="K14" i="7"/>
  <c r="K12" i="7"/>
  <c r="K11" i="7"/>
  <c r="K10" i="7"/>
  <c r="I38" i="7"/>
  <c r="I18" i="1" s="1"/>
  <c r="E38" i="7"/>
  <c r="F18" i="1" s="1"/>
  <c r="D38" i="7"/>
  <c r="J17" i="7"/>
  <c r="I57" i="7"/>
  <c r="I23" i="1" s="1"/>
  <c r="I54" i="7"/>
  <c r="I22" i="1" s="1"/>
  <c r="I48" i="7"/>
  <c r="I21" i="1" s="1"/>
  <c r="I46" i="7"/>
  <c r="I20" i="1" s="1"/>
  <c r="I41" i="7"/>
  <c r="I19" i="1" s="1"/>
  <c r="I34" i="7"/>
  <c r="I17" i="1" s="1"/>
  <c r="I25" i="7"/>
  <c r="I16" i="1" s="1"/>
  <c r="I15" i="1"/>
  <c r="I19" i="7"/>
  <c r="I14" i="1" s="1"/>
  <c r="E57" i="7"/>
  <c r="F23" i="1" s="1"/>
  <c r="E54" i="7"/>
  <c r="F22" i="1" s="1"/>
  <c r="E48" i="7"/>
  <c r="F21" i="1" s="1"/>
  <c r="E46" i="7"/>
  <c r="F20" i="1" s="1"/>
  <c r="E41" i="7"/>
  <c r="F19" i="1" s="1"/>
  <c r="E34" i="7"/>
  <c r="E25" i="7"/>
  <c r="F15" i="1"/>
  <c r="E19" i="7"/>
  <c r="F14" i="1" s="1"/>
  <c r="D57" i="7"/>
  <c r="D54" i="7"/>
  <c r="D48" i="7"/>
  <c r="D46" i="7"/>
  <c r="D41" i="7"/>
  <c r="D34" i="7"/>
  <c r="D25" i="7"/>
  <c r="D19" i="7"/>
  <c r="M59" i="7"/>
  <c r="L59" i="7"/>
  <c r="J59" i="7"/>
  <c r="M58" i="7"/>
  <c r="L58" i="7"/>
  <c r="J58" i="7"/>
  <c r="C57" i="7"/>
  <c r="C23" i="1" s="1"/>
  <c r="M56" i="7"/>
  <c r="L56" i="7"/>
  <c r="J56" i="7"/>
  <c r="M55" i="7"/>
  <c r="L55" i="7"/>
  <c r="J55" i="7"/>
  <c r="C54" i="7"/>
  <c r="M53" i="7"/>
  <c r="L53" i="7"/>
  <c r="J53" i="7"/>
  <c r="M52" i="7"/>
  <c r="L52" i="7"/>
  <c r="J52" i="7"/>
  <c r="M51" i="7"/>
  <c r="L51" i="7"/>
  <c r="J51" i="7"/>
  <c r="M50" i="7"/>
  <c r="L50" i="7"/>
  <c r="J50" i="7"/>
  <c r="M49" i="7"/>
  <c r="L49" i="7"/>
  <c r="J49" i="7"/>
  <c r="C48" i="7"/>
  <c r="C21" i="1" s="1"/>
  <c r="M47" i="7"/>
  <c r="L47" i="7"/>
  <c r="J47" i="7"/>
  <c r="C46" i="7"/>
  <c r="C20" i="1" s="1"/>
  <c r="O20" i="1" s="1"/>
  <c r="P20" i="1" s="1"/>
  <c r="M45" i="7"/>
  <c r="L45" i="7"/>
  <c r="J45" i="7"/>
  <c r="M44" i="7"/>
  <c r="L44" i="7"/>
  <c r="J44" i="7"/>
  <c r="M43" i="7"/>
  <c r="L43" i="7"/>
  <c r="J43" i="7"/>
  <c r="M42" i="7"/>
  <c r="L42" i="7"/>
  <c r="J42" i="7"/>
  <c r="C41" i="7"/>
  <c r="C19" i="1" s="1"/>
  <c r="C38" i="7"/>
  <c r="M39" i="7"/>
  <c r="L39" i="7"/>
  <c r="J39" i="7"/>
  <c r="M38" i="7"/>
  <c r="C34" i="7"/>
  <c r="M37" i="7"/>
  <c r="L37" i="7"/>
  <c r="J37" i="7"/>
  <c r="M36" i="7"/>
  <c r="L36" i="7"/>
  <c r="J36" i="7"/>
  <c r="M35" i="7"/>
  <c r="L35" i="7"/>
  <c r="J35" i="7"/>
  <c r="C25" i="7"/>
  <c r="M31" i="7"/>
  <c r="L31" i="7"/>
  <c r="J31" i="7"/>
  <c r="M30" i="7"/>
  <c r="L30" i="7"/>
  <c r="J30" i="7"/>
  <c r="M33" i="7"/>
  <c r="L33" i="7"/>
  <c r="J33" i="7"/>
  <c r="M32" i="7"/>
  <c r="J32" i="7"/>
  <c r="M29" i="7"/>
  <c r="M28" i="7"/>
  <c r="L28" i="7"/>
  <c r="J28" i="7"/>
  <c r="M26" i="7"/>
  <c r="L26" i="7"/>
  <c r="J26" i="7"/>
  <c r="M21" i="7"/>
  <c r="L21" i="7"/>
  <c r="J21" i="7"/>
  <c r="M20" i="7"/>
  <c r="L20" i="7"/>
  <c r="J20" i="7"/>
  <c r="C19" i="7"/>
  <c r="M23" i="7"/>
  <c r="L23" i="7"/>
  <c r="J23" i="7"/>
  <c r="L22" i="7"/>
  <c r="C22" i="7"/>
  <c r="C15" i="1" s="1"/>
  <c r="O15" i="1" s="1"/>
  <c r="P15" i="1" s="1"/>
  <c r="C13" i="1"/>
  <c r="M18" i="7"/>
  <c r="L18" i="7"/>
  <c r="J18" i="7"/>
  <c r="M14" i="7"/>
  <c r="L14" i="7"/>
  <c r="J14" i="7"/>
  <c r="M12" i="7"/>
  <c r="L12" i="7"/>
  <c r="J12" i="7"/>
  <c r="M11" i="7"/>
  <c r="L11" i="7"/>
  <c r="J11" i="7"/>
  <c r="L10" i="7"/>
  <c r="O19" i="1" l="1"/>
  <c r="P19" i="1" s="1"/>
  <c r="D8" i="7"/>
  <c r="O23" i="1"/>
  <c r="P23" i="1" s="1"/>
  <c r="F16" i="1"/>
  <c r="K16" i="1" s="1"/>
  <c r="E8" i="7"/>
  <c r="O21" i="1"/>
  <c r="P21" i="1" s="1"/>
  <c r="C16" i="1"/>
  <c r="O16" i="1" s="1"/>
  <c r="P16" i="1" s="1"/>
  <c r="C8" i="7"/>
  <c r="I13" i="1"/>
  <c r="I24" i="1" s="1"/>
  <c r="I8" i="7"/>
  <c r="F17" i="1"/>
  <c r="K15" i="1"/>
  <c r="L15" i="1"/>
  <c r="K20" i="1"/>
  <c r="L20" i="1"/>
  <c r="K22" i="1"/>
  <c r="L22" i="1"/>
  <c r="K18" i="1"/>
  <c r="L18" i="1"/>
  <c r="K14" i="1"/>
  <c r="L14" i="1"/>
  <c r="K19" i="1"/>
  <c r="L19" i="1"/>
  <c r="K21" i="1"/>
  <c r="L21" i="1"/>
  <c r="K23" i="1"/>
  <c r="L23" i="1"/>
  <c r="O38" i="7"/>
  <c r="P38" i="7" s="1"/>
  <c r="C18" i="1"/>
  <c r="O18" i="1" s="1"/>
  <c r="P18" i="1" s="1"/>
  <c r="K54" i="7"/>
  <c r="C22" i="1"/>
  <c r="O22" i="1" s="1"/>
  <c r="P22" i="1" s="1"/>
  <c r="K19" i="7"/>
  <c r="C14" i="1"/>
  <c r="O14" i="1" s="1"/>
  <c r="P14" i="1" s="1"/>
  <c r="O34" i="7"/>
  <c r="P34" i="7" s="1"/>
  <c r="C17" i="1"/>
  <c r="M57" i="7"/>
  <c r="O25" i="7"/>
  <c r="P25" i="7" s="1"/>
  <c r="K9" i="7"/>
  <c r="O48" i="7"/>
  <c r="P48" i="7" s="1"/>
  <c r="J46" i="7"/>
  <c r="O46" i="7"/>
  <c r="P46" i="7" s="1"/>
  <c r="J57" i="7"/>
  <c r="O57" i="7"/>
  <c r="P57" i="7" s="1"/>
  <c r="K46" i="7"/>
  <c r="K48" i="7"/>
  <c r="M46" i="7"/>
  <c r="M48" i="7"/>
  <c r="L25" i="7"/>
  <c r="O41" i="7"/>
  <c r="P41" i="7" s="1"/>
  <c r="L54" i="7"/>
  <c r="O54" i="7"/>
  <c r="P54" i="7" s="1"/>
  <c r="L38" i="7"/>
  <c r="K41" i="7"/>
  <c r="K57" i="7"/>
  <c r="K38" i="7"/>
  <c r="M34" i="7"/>
  <c r="K34" i="7"/>
  <c r="K25" i="7"/>
  <c r="J22" i="7"/>
  <c r="M22" i="7"/>
  <c r="O22" i="7"/>
  <c r="P22" i="7" s="1"/>
  <c r="K22" i="7"/>
  <c r="M19" i="7"/>
  <c r="O19" i="7"/>
  <c r="P19" i="7" s="1"/>
  <c r="M9" i="7"/>
  <c r="O9" i="7"/>
  <c r="P9" i="7" s="1"/>
  <c r="M54" i="7"/>
  <c r="J54" i="7"/>
  <c r="M41" i="7"/>
  <c r="L41" i="7"/>
  <c r="L34" i="7"/>
  <c r="J25" i="7"/>
  <c r="J19" i="7"/>
  <c r="L48" i="7"/>
  <c r="J41" i="7"/>
  <c r="J38" i="7"/>
  <c r="J34" i="7"/>
  <c r="L19" i="7"/>
  <c r="L57" i="7"/>
  <c r="J48" i="7"/>
  <c r="L46" i="7"/>
  <c r="M25" i="7"/>
  <c r="L9" i="7"/>
  <c r="J10" i="7"/>
  <c r="M10" i="7"/>
  <c r="J9" i="7"/>
  <c r="E17" i="6"/>
  <c r="E16" i="6" s="1"/>
  <c r="F10" i="1" s="1"/>
  <c r="I17" i="6"/>
  <c r="F9" i="1"/>
  <c r="J62" i="6"/>
  <c r="J61" i="6"/>
  <c r="J59" i="6"/>
  <c r="J58" i="6"/>
  <c r="J53" i="6"/>
  <c r="J50" i="6"/>
  <c r="J48" i="6"/>
  <c r="J43" i="6"/>
  <c r="J37" i="6"/>
  <c r="J34" i="6"/>
  <c r="J33" i="6"/>
  <c r="J31" i="6"/>
  <c r="J26" i="6"/>
  <c r="J25" i="6"/>
  <c r="J22" i="6"/>
  <c r="J21" i="6"/>
  <c r="J19" i="6"/>
  <c r="J18" i="6"/>
  <c r="J14" i="6"/>
  <c r="J13" i="6"/>
  <c r="J11" i="6"/>
  <c r="M62" i="6"/>
  <c r="L62" i="6"/>
  <c r="M61" i="6"/>
  <c r="L61" i="6"/>
  <c r="M59" i="6"/>
  <c r="L59" i="6"/>
  <c r="M58" i="6"/>
  <c r="L58" i="6"/>
  <c r="M50" i="6"/>
  <c r="L50" i="6"/>
  <c r="M48" i="6"/>
  <c r="L48" i="6"/>
  <c r="M43" i="6"/>
  <c r="L43" i="6"/>
  <c r="M37" i="6"/>
  <c r="L37" i="6"/>
  <c r="M34" i="6"/>
  <c r="L34" i="6"/>
  <c r="M26" i="6"/>
  <c r="L26" i="6"/>
  <c r="M25" i="6"/>
  <c r="L25" i="6"/>
  <c r="M22" i="6"/>
  <c r="L22" i="6"/>
  <c r="M21" i="6"/>
  <c r="L21" i="6"/>
  <c r="M19" i="6"/>
  <c r="L19" i="6"/>
  <c r="M18" i="6"/>
  <c r="L18" i="6"/>
  <c r="M14" i="6"/>
  <c r="L14" i="6"/>
  <c r="M13" i="6"/>
  <c r="L13" i="6"/>
  <c r="M11" i="6"/>
  <c r="I46" i="6"/>
  <c r="I29" i="6"/>
  <c r="E46" i="6"/>
  <c r="J32" i="6"/>
  <c r="E29" i="6"/>
  <c r="D57" i="6"/>
  <c r="D46" i="6"/>
  <c r="D32" i="6"/>
  <c r="D29" i="6"/>
  <c r="D17" i="6"/>
  <c r="D10" i="6"/>
  <c r="C46" i="6"/>
  <c r="C29" i="6"/>
  <c r="C16" i="6"/>
  <c r="D8" i="1"/>
  <c r="D12" i="1" s="1"/>
  <c r="F24" i="1" l="1"/>
  <c r="L16" i="1"/>
  <c r="K17" i="1"/>
  <c r="K13" i="1"/>
  <c r="O13" i="1"/>
  <c r="P13" i="1" s="1"/>
  <c r="L13" i="1"/>
  <c r="L17" i="1"/>
  <c r="P46" i="6"/>
  <c r="Q46" i="6" s="1"/>
  <c r="P29" i="6"/>
  <c r="Q29" i="6" s="1"/>
  <c r="F8" i="1"/>
  <c r="O13" i="6"/>
  <c r="O11" i="6"/>
  <c r="P10" i="6"/>
  <c r="Q10" i="6" s="1"/>
  <c r="O17" i="1"/>
  <c r="P17" i="1" s="1"/>
  <c r="C10" i="1"/>
  <c r="C8" i="1" s="1"/>
  <c r="C24" i="1"/>
  <c r="O24" i="1" s="1"/>
  <c r="P24" i="1" s="1"/>
  <c r="I11" i="1"/>
  <c r="I9" i="1"/>
  <c r="K8" i="7"/>
  <c r="C28" i="6"/>
  <c r="E9" i="6"/>
  <c r="E28" i="6"/>
  <c r="F11" i="1" s="1"/>
  <c r="M29" i="6"/>
  <c r="M10" i="6"/>
  <c r="M57" i="6"/>
  <c r="J57" i="6"/>
  <c r="J46" i="6"/>
  <c r="L8" i="7"/>
  <c r="J8" i="7"/>
  <c r="M8" i="7"/>
  <c r="J17" i="6"/>
  <c r="M17" i="6"/>
  <c r="I16" i="6"/>
  <c r="I10" i="1" s="1"/>
  <c r="Q10" i="1" s="1"/>
  <c r="L17" i="6"/>
  <c r="L10" i="6"/>
  <c r="J10" i="6"/>
  <c r="L29" i="6"/>
  <c r="L57" i="6"/>
  <c r="L46" i="6"/>
  <c r="M46" i="6"/>
  <c r="L32" i="6"/>
  <c r="M32" i="6"/>
  <c r="D16" i="6"/>
  <c r="C9" i="6"/>
  <c r="M23" i="1"/>
  <c r="M22" i="1"/>
  <c r="M21" i="1"/>
  <c r="M20" i="1"/>
  <c r="M19" i="1"/>
  <c r="M18" i="1"/>
  <c r="M17" i="1"/>
  <c r="M16" i="1"/>
  <c r="M15" i="1"/>
  <c r="M14" i="1"/>
  <c r="M13" i="1"/>
  <c r="K24" i="1" l="1"/>
  <c r="F12" i="1"/>
  <c r="F25" i="1" s="1"/>
  <c r="I9" i="6"/>
  <c r="M9" i="6" s="1"/>
  <c r="M9" i="1"/>
  <c r="P16" i="6"/>
  <c r="M10" i="1"/>
  <c r="C11" i="1"/>
  <c r="P28" i="6"/>
  <c r="Q28" i="6" s="1"/>
  <c r="C12" i="1"/>
  <c r="K10" i="1"/>
  <c r="L10" i="1"/>
  <c r="I8" i="1"/>
  <c r="K9" i="1"/>
  <c r="L9" i="1"/>
  <c r="K11" i="1"/>
  <c r="L11" i="1"/>
  <c r="J9" i="6"/>
  <c r="C8" i="6"/>
  <c r="P8" i="6" s="1"/>
  <c r="L28" i="6"/>
  <c r="E8" i="6"/>
  <c r="J16" i="6"/>
  <c r="L16" i="6"/>
  <c r="M16" i="6"/>
  <c r="L9" i="6"/>
  <c r="D9" i="6"/>
  <c r="M28" i="6"/>
  <c r="J23" i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L26" i="5"/>
  <c r="H26" i="5"/>
  <c r="F26" i="5"/>
  <c r="C28" i="5"/>
  <c r="E25" i="5"/>
  <c r="G25" i="5" s="1"/>
  <c r="I25" i="5" s="1"/>
  <c r="K25" i="5" s="1"/>
  <c r="M25" i="5" s="1"/>
  <c r="H23" i="1" s="1"/>
  <c r="E24" i="5"/>
  <c r="G24" i="5" s="1"/>
  <c r="I24" i="5" s="1"/>
  <c r="K24" i="5" s="1"/>
  <c r="M24" i="5" s="1"/>
  <c r="G22" i="1" s="1"/>
  <c r="E23" i="5"/>
  <c r="G23" i="5" s="1"/>
  <c r="I23" i="5" s="1"/>
  <c r="K23" i="5" s="1"/>
  <c r="M23" i="5" s="1"/>
  <c r="G21" i="1" s="1"/>
  <c r="E22" i="5"/>
  <c r="G22" i="5" s="1"/>
  <c r="I22" i="5" s="1"/>
  <c r="K22" i="5" s="1"/>
  <c r="M22" i="5" s="1"/>
  <c r="H20" i="1" s="1"/>
  <c r="E21" i="5"/>
  <c r="G21" i="5" s="1"/>
  <c r="I21" i="5" s="1"/>
  <c r="K21" i="5" s="1"/>
  <c r="M21" i="5" s="1"/>
  <c r="H19" i="1" s="1"/>
  <c r="E20" i="5"/>
  <c r="G20" i="5" s="1"/>
  <c r="I20" i="5" s="1"/>
  <c r="K20" i="5" s="1"/>
  <c r="M20" i="5" s="1"/>
  <c r="H18" i="1" s="1"/>
  <c r="E19" i="5"/>
  <c r="G19" i="5" s="1"/>
  <c r="I19" i="5" s="1"/>
  <c r="K19" i="5" s="1"/>
  <c r="M19" i="5" s="1"/>
  <c r="H17" i="1" s="1"/>
  <c r="E18" i="5"/>
  <c r="G18" i="5" s="1"/>
  <c r="I18" i="5" s="1"/>
  <c r="K18" i="5" s="1"/>
  <c r="M18" i="5" s="1"/>
  <c r="H16" i="1" s="1"/>
  <c r="E17" i="5"/>
  <c r="G17" i="5" s="1"/>
  <c r="I17" i="5" s="1"/>
  <c r="K17" i="5" s="1"/>
  <c r="M17" i="5" s="1"/>
  <c r="G15" i="1" s="1"/>
  <c r="E16" i="5"/>
  <c r="G16" i="5" s="1"/>
  <c r="I16" i="5" s="1"/>
  <c r="K16" i="5" s="1"/>
  <c r="M16" i="5" s="1"/>
  <c r="H14" i="1" s="1"/>
  <c r="E15" i="5"/>
  <c r="Q9" i="6" l="1"/>
  <c r="G15" i="5"/>
  <c r="I15" i="5" s="1"/>
  <c r="H21" i="1"/>
  <c r="G14" i="1"/>
  <c r="H22" i="1"/>
  <c r="G19" i="1"/>
  <c r="G18" i="1"/>
  <c r="G17" i="1"/>
  <c r="H15" i="1"/>
  <c r="I8" i="6"/>
  <c r="O28" i="6" s="1"/>
  <c r="M11" i="1"/>
  <c r="I12" i="1"/>
  <c r="L12" i="1" s="1"/>
  <c r="K8" i="1"/>
  <c r="K12" i="1" s="1"/>
  <c r="M8" i="1"/>
  <c r="J8" i="1"/>
  <c r="J12" i="1" s="1"/>
  <c r="L8" i="1"/>
  <c r="M12" i="1"/>
  <c r="J24" i="1"/>
  <c r="E13" i="5"/>
  <c r="N22" i="1"/>
  <c r="N19" i="1"/>
  <c r="N15" i="1"/>
  <c r="N13" i="1"/>
  <c r="N20" i="1"/>
  <c r="N16" i="1"/>
  <c r="N23" i="1"/>
  <c r="N21" i="1"/>
  <c r="N18" i="1"/>
  <c r="N14" i="1"/>
  <c r="L24" i="1"/>
  <c r="M24" i="1"/>
  <c r="D8" i="6"/>
  <c r="G16" i="1"/>
  <c r="G20" i="1"/>
  <c r="G23" i="1"/>
  <c r="C25" i="1"/>
  <c r="J8" i="6" l="1"/>
  <c r="O10" i="6"/>
  <c r="L8" i="6"/>
  <c r="O16" i="6"/>
  <c r="M8" i="6"/>
  <c r="Q11" i="6"/>
  <c r="I25" i="1"/>
  <c r="N8" i="1"/>
  <c r="J25" i="1"/>
  <c r="E28" i="5"/>
  <c r="K15" i="5"/>
  <c r="K25" i="1" l="1"/>
  <c r="M15" i="5"/>
  <c r="D25" i="1" l="1"/>
  <c r="H24" i="1" l="1"/>
  <c r="G13" i="1"/>
  <c r="G24" i="1" s="1"/>
  <c r="G9" i="1"/>
  <c r="H9" i="1"/>
  <c r="F13" i="5" l="1"/>
  <c r="I13" i="5" l="1"/>
  <c r="I28" i="5" s="1"/>
  <c r="G13" i="5"/>
  <c r="G28" i="5" s="1"/>
  <c r="K13" i="5" l="1"/>
  <c r="K28" i="5" s="1"/>
  <c r="M13" i="5" l="1"/>
  <c r="M28" i="5" s="1"/>
  <c r="G11" i="1" l="1"/>
  <c r="H11" i="1"/>
  <c r="G10" i="1"/>
  <c r="H10" i="1"/>
  <c r="E8" i="1"/>
  <c r="E12" i="1" s="1"/>
  <c r="H12" i="1" l="1"/>
  <c r="H25" i="1" s="1"/>
  <c r="E25" i="1"/>
  <c r="G8" i="1"/>
  <c r="G12" i="1" s="1"/>
  <c r="G25" i="1" s="1"/>
  <c r="H8" i="1"/>
</calcChain>
</file>

<file path=xl/sharedStrings.xml><?xml version="1.0" encoding="utf-8"?>
<sst xmlns="http://schemas.openxmlformats.org/spreadsheetml/2006/main" count="406" uniqueCount="262">
  <si>
    <t>Внесение изменений</t>
  </si>
  <si>
    <t xml:space="preserve">Номер и дата решения сессии Совета депутатов Каргатского района </t>
  </si>
  <si>
    <t>Наименование видов доходов, статей расходов</t>
  </si>
  <si>
    <t>(тыс. рублей)</t>
  </si>
  <si>
    <t>ДОХОДЫ</t>
  </si>
  <si>
    <t>№ раздела</t>
  </si>
  <si>
    <t>Итого доходов</t>
  </si>
  <si>
    <t>РАСХОДЫ</t>
  </si>
  <si>
    <t>01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</si>
  <si>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</si>
  <si>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</si>
  <si>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</si>
  <si>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</si>
  <si>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</si>
  <si>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</si>
  <si>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</si>
  <si>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</si>
  <si>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</si>
  <si>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t>14</t>
  </si>
  <si>
    <t>Итого расходов</t>
  </si>
  <si>
    <t>Дефицит</t>
  </si>
  <si>
    <t>Утверж-дённые назначения</t>
  </si>
  <si>
    <t>Сумма изм.</t>
  </si>
  <si>
    <t>Итоговое значение</t>
  </si>
  <si>
    <t>Общегосударственные расходы</t>
  </si>
  <si>
    <t>Национальная оборона</t>
  </si>
  <si>
    <t>Национальная безопасность и правоохраниетльная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</si>
  <si>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</si>
  <si>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</si>
  <si>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</si>
  <si>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</si>
  <si>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</si>
  <si>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Культура, кинематография</t>
  </si>
  <si>
    <t>Физическая культура и спорт</t>
  </si>
  <si>
    <t>Межбюджетные трансферты</t>
  </si>
  <si>
    <t>Безвозмездные поступления</t>
  </si>
  <si>
    <t>Таблица № 1</t>
  </si>
  <si>
    <t>Утверж-дённые назначения решением № 165 от 22.12.2011</t>
  </si>
  <si>
    <t>Отклонение (гр.5 - гр.4)</t>
  </si>
  <si>
    <t>Отклонение (гр.6 - гр.5)</t>
  </si>
  <si>
    <t>Утверж-дённые бюджетные назначения в отчёте ф. 0503117</t>
  </si>
  <si>
    <t>Отклонение (гр.8 - гр.5)</t>
  </si>
  <si>
    <t>Таблица № 2</t>
  </si>
  <si>
    <t>Доходы - всего, в том числе:</t>
  </si>
  <si>
    <t xml:space="preserve">                    налоговые доходы</t>
  </si>
  <si>
    <t xml:space="preserve">                    неналоговые доходы</t>
  </si>
  <si>
    <t>налоговые и неналоговые доходы, в том числе:</t>
  </si>
  <si>
    <t xml:space="preserve">   налоговые доходы, в том числе:</t>
  </si>
  <si>
    <t xml:space="preserve">   НДФЛ</t>
  </si>
  <si>
    <t xml:space="preserve">   налоги на совокупный доход</t>
  </si>
  <si>
    <t xml:space="preserve">   государственная пошлина</t>
  </si>
  <si>
    <t xml:space="preserve">   доходы от использования имущества, находящегося в муниципальной собственности</t>
  </si>
  <si>
    <t>Наименование видов доходов</t>
  </si>
  <si>
    <t xml:space="preserve">   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</si>
  <si>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платежи при пользовании природными ресурсами</t>
  </si>
  <si>
    <t xml:space="preserve">  доходы от оказания платных услуг и компенсации затрат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</si>
  <si>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</si>
  <si>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</si>
  <si>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прочие неналоговые доходы</t>
  </si>
  <si>
    <t xml:space="preserve">   неналоговые доходы, в том числе:</t>
  </si>
  <si>
    <t>безвозмездные поступления, в том числе:</t>
  </si>
  <si>
    <t xml:space="preserve">   дотации, в том числе:</t>
  </si>
  <si>
    <t xml:space="preserve">   дотации бюджетам МР на выравнивание бюджетной обеспеченности </t>
  </si>
  <si>
    <t xml:space="preserve">   дотации бюджетам МР на поддержку мер по обеспечению сбалансированности бюджетов</t>
  </si>
  <si>
    <t xml:space="preserve">   субсидии, в том числе:</t>
  </si>
  <si>
    <t xml:space="preserve">   субсидии бюджетам МР на обеспечение жильем молодых семей</t>
  </si>
  <si>
    <t xml:space="preserve">   субсидии бюджетам МР на господдержку малого и среднего предпринимательства, включая крестьянские (фермерские) хозяйства</t>
  </si>
  <si>
    <t xml:space="preserve">   субсидии бюджетам МР на государственную модернизацию систем общего образования</t>
  </si>
  <si>
    <t xml:space="preserve">   прочие субсидии бюджетам МР</t>
  </si>
  <si>
    <t xml:space="preserve">   субвенции, в том числе:</t>
  </si>
  <si>
    <t xml:space="preserve">   субвенции бюджетам МР на осуществление первичного воинского учета на территориях, где отсутствуют воинские комиссариаты</t>
  </si>
  <si>
    <t xml:space="preserve">   субвенции бюджетам МР на ежемесячное денежное вознаграждение за классное руководство</t>
  </si>
  <si>
    <t xml:space="preserve">   субвенции бюджетам МР на выполнение передаваемых полномочий субъектов РФ</t>
  </si>
  <si>
    <t xml:space="preserve">   субвенции  бюджетам МР на содержание ребенка в семье опекуна и приемной семье, а также вознаграждение, причитающееся приемному родителю</t>
  </si>
  <si>
    <t xml:space="preserve">   субвенции бюджетам МР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</si>
  <si>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  субвенции бюджетам МР на обеспечение жильем отдельных категорий граждан, установленных ФЗ от 12.01.1995 № 5-ФЗ «О ветеранах», в соответствии с Указом Президента РФ от 07.05.2008 № 714 «Об обеспечении жильем ветеранов ВОВ 1941-1945 годов»</t>
  </si>
  <si>
    <t xml:space="preserve">   прочие субвенции бюджетам МР</t>
  </si>
  <si>
    <t xml:space="preserve">   иные межбюджетные трансферты, в том числе:</t>
  </si>
  <si>
    <t xml:space="preserve">   межбюджетные трансферты, передаваемые бюджетам МР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</si>
  <si>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МР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</si>
  <si>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межбюджетные трансферты, передаваемые бюджетам МР на комплектование книжных фондов библиотек муниципальных образований</t>
  </si>
  <si>
    <t xml:space="preserve">   иные межбюджетные трансферты на предоставление субсидий на реализацию мероприятий в рамках программы модернизации здравоохранения в НСО 2011-2012 гг.</t>
  </si>
  <si>
    <t xml:space="preserve">   прочие межбюджетные трансферты, передаваемые бюджетам МР</t>
  </si>
  <si>
    <t xml:space="preserve">   прочие безвозмездные поступления в бюджеты МР</t>
  </si>
  <si>
    <t xml:space="preserve">   прочие</t>
  </si>
  <si>
    <t>Таблица № 3</t>
  </si>
  <si>
    <t>Расходы - всего, в том числе:</t>
  </si>
  <si>
    <t>№ раздела/подраздела</t>
  </si>
  <si>
    <t>0102</t>
  </si>
  <si>
    <t>0100</t>
  </si>
  <si>
    <t>0103</t>
  </si>
  <si>
    <t>0104</t>
  </si>
  <si>
    <t>0106</t>
  </si>
  <si>
    <t>0113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</si>
  <si>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</si>
  <si>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</si>
  <si>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</si>
  <si>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</si>
  <si>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</si>
  <si>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0200</t>
  </si>
  <si>
    <t>0203</t>
  </si>
  <si>
    <t>0204</t>
  </si>
  <si>
    <t>Национальная оборона, в том числе:</t>
  </si>
  <si>
    <t>Мобилизационная и вневойсковая подготовка</t>
  </si>
  <si>
    <t>Мобилизационная подготовка экономики</t>
  </si>
  <si>
    <t>0300</t>
  </si>
  <si>
    <t>Национальная безопасность и правоохранительная деятельность, в том числе:</t>
  </si>
  <si>
    <t>Общегосударственные вопросы, в том числе: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</si>
  <si>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</si>
  <si>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</si>
  <si>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0400</t>
  </si>
  <si>
    <t>Национальная экономика, в том числе:</t>
  </si>
  <si>
    <t>0401</t>
  </si>
  <si>
    <t>0402</t>
  </si>
  <si>
    <t>0405</t>
  </si>
  <si>
    <t>0406</t>
  </si>
  <si>
    <t>0410</t>
  </si>
  <si>
    <t>0412</t>
  </si>
  <si>
    <t>Общеэкономические вопросы</t>
  </si>
  <si>
    <t>Топливно-энергетический комплекс</t>
  </si>
  <si>
    <t>Сельское хозяйство и рыболовство</t>
  </si>
  <si>
    <t>Водное хозяйство</t>
  </si>
  <si>
    <t>0408</t>
  </si>
  <si>
    <t>Транспорт</t>
  </si>
  <si>
    <t>0409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</si>
  <si>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</si>
  <si>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</si>
  <si>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</si>
  <si>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0500</t>
  </si>
  <si>
    <t>0501</t>
  </si>
  <si>
    <t>0502</t>
  </si>
  <si>
    <t>0503</t>
  </si>
  <si>
    <t>Жилищное хозяйство</t>
  </si>
  <si>
    <t>Коммунальное хозяйство</t>
  </si>
  <si>
    <t>Жилищно-коммунальное хозяйство, в том числе:</t>
  </si>
  <si>
    <t>Благоустройство</t>
  </si>
  <si>
    <t>0600</t>
  </si>
  <si>
    <t>Охрана окружающей среды, в том числе:</t>
  </si>
  <si>
    <t>0603</t>
  </si>
  <si>
    <t>Охрана объектов растительного и животного мира и среды их обитания</t>
  </si>
  <si>
    <t>0700</t>
  </si>
  <si>
    <t>Образование, в том числе:</t>
  </si>
  <si>
    <t>0701</t>
  </si>
  <si>
    <t>0702</t>
  </si>
  <si>
    <t>0707</t>
  </si>
  <si>
    <t>0709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</si>
  <si>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</si>
  <si>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</si>
  <si>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</si>
  <si>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</si>
  <si>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0800</t>
  </si>
  <si>
    <t>0801</t>
  </si>
  <si>
    <t>Культура, кинематография, в том числе:</t>
  </si>
  <si>
    <t>Культура</t>
  </si>
  <si>
    <t>Социальная политика, в том числе:</t>
  </si>
  <si>
    <t>1000</t>
  </si>
  <si>
    <t>1001</t>
  </si>
  <si>
    <t>1002</t>
  </si>
  <si>
    <t>1003</t>
  </si>
  <si>
    <t>1004</t>
  </si>
  <si>
    <t>1006</t>
  </si>
  <si>
    <t>Пенсионное обеспечение</t>
  </si>
  <si>
    <t>Социальное обслуживание населения</t>
  </si>
  <si>
    <t>Охрана семьи и детства</t>
  </si>
  <si>
    <t>Социальное обеспечение населения</t>
  </si>
  <si>
    <t>Другие вопросы в области социальной политики</t>
  </si>
  <si>
    <t>1100</t>
  </si>
  <si>
    <t>1101</t>
  </si>
  <si>
    <t>1102</t>
  </si>
  <si>
    <t>Физическая культура и спорт, в том числе:</t>
  </si>
  <si>
    <t>Физическая культура</t>
  </si>
  <si>
    <t>Массовый спорт</t>
  </si>
  <si>
    <t>1400</t>
  </si>
  <si>
    <t>1401</t>
  </si>
  <si>
    <t>1403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</si>
  <si>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</si>
  <si>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бюджетам субъектов Российской Федерации и муниципальных образований общего характера, в том числе:</t>
  </si>
  <si>
    <t>Прочие межбюджетные трансферты общего характера</t>
  </si>
  <si>
    <t>0105</t>
  </si>
  <si>
    <t>Судебная система</t>
  </si>
  <si>
    <t>0111</t>
  </si>
  <si>
    <t>Резервные фонды</t>
  </si>
  <si>
    <t>Отклонение (гр.6 - гр.3)</t>
  </si>
  <si>
    <t>Таблица № 4</t>
  </si>
  <si>
    <t>Отклонение (гр.9 - гр.4)</t>
  </si>
  <si>
    <t>Отклонение (гр.9 - гр.6)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</si>
  <si>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</si>
  <si>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Отклонение (гр.4 - гр.3)</t>
  </si>
  <si>
    <t xml:space="preserve">   субсидии бюджетам МР на реализацию федеральных целевых программ</t>
  </si>
  <si>
    <t xml:space="preserve">   субсидии бюджетам на модернизацию региональных систем общего образования</t>
  </si>
  <si>
    <t xml:space="preserve">   субвенции бюджетам МР на составление (изменение) списков кандидатов в присяжные заседатели федеральных судов общей юрисдикции в РФ</t>
  </si>
  <si>
    <t xml:space="preserve">   субвенции бюджетам МР на обеспечение жильем отдельных категорий граждан, установленных ФЗ от 12.01.1995 № 5-ФЗ «О ветеранах» и от 24.11.95 № 181-ФЗ «О социальной защите инвалидов в РФ"</t>
  </si>
  <si>
    <t xml:space="preserve">   безвозмездные поступления от негосударственных организаций</t>
  </si>
  <si>
    <t xml:space="preserve">   Возврат остатков субсидий, субвенций и иных межбюджетных трансфертов, имеющих целевое назначение, прошлых лет из бюджетов МР</t>
  </si>
  <si>
    <t>Таблица № 5</t>
  </si>
  <si>
    <t>КОСГУ</t>
  </si>
  <si>
    <t>211</t>
  </si>
  <si>
    <t>212</t>
  </si>
  <si>
    <t>213</t>
  </si>
  <si>
    <t>221</t>
  </si>
  <si>
    <t>222</t>
  </si>
  <si>
    <t>223</t>
  </si>
  <si>
    <t>224</t>
  </si>
  <si>
    <t>225</t>
  </si>
  <si>
    <t>226</t>
  </si>
  <si>
    <t>241</t>
  </si>
  <si>
    <t>242</t>
  </si>
  <si>
    <t>251</t>
  </si>
  <si>
    <t>262</t>
  </si>
  <si>
    <t>263</t>
  </si>
  <si>
    <t>290</t>
  </si>
  <si>
    <t>310</t>
  </si>
  <si>
    <t>340</t>
  </si>
  <si>
    <t>(тыс. руб.)</t>
  </si>
  <si>
    <t>Налоговые и неналоговые доходы, в том числе:</t>
  </si>
  <si>
    <t>Национальная безопасность и правоохранительная деятельность</t>
  </si>
  <si>
    <t>Исполнение бюджета за 2013 год</t>
  </si>
  <si>
    <t>Налоговые и неналоговые доходы</t>
  </si>
  <si>
    <t xml:space="preserve">   субсидии бюджетам МР на осуществление мероприятий по обеспечению жильём граждан РФ, проживающих в сельской местности</t>
  </si>
  <si>
    <t xml:space="preserve">   субвенции бюджетам МР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</si>
  <si>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0107</t>
  </si>
  <si>
    <t>Обеспечение проведения выборов и референдумов</t>
  </si>
  <si>
    <t>Анализ исполнения бюджета Каргатского района за 2014 год</t>
  </si>
  <si>
    <t>Утверж-дённые назначения решением   № 355 от 20.12.2013</t>
  </si>
  <si>
    <t>Процент исполнения к плану 2014 года (гр.9 / гр.6)</t>
  </si>
  <si>
    <t>Анализ исполнения бюджета Каргатского района за 2014 год по доходам</t>
  </si>
  <si>
    <t>Плановые назначения на 2014 год</t>
  </si>
  <si>
    <t>Исполнение бюджета за 2014 год</t>
  </si>
  <si>
    <t>Процент исполнения к плану 2014 года (гр.4/гр.3)</t>
  </si>
  <si>
    <t>Факт 2013 года к факту 2013 года (гр.4/гр.2)</t>
  </si>
  <si>
    <t xml:space="preserve">   акцизы по подакцизным товарам</t>
  </si>
  <si>
    <t>Доходы от оказания платных услуг</t>
  </si>
  <si>
    <t>Доходы от компенсации затрат</t>
  </si>
  <si>
    <t xml:space="preserve">   субсидии бюджетам МР на софинансирование капвложений в объекты муниципальной собственности</t>
  </si>
  <si>
    <t xml:space="preserve">   субсидии бюджетам МР на обспечение мероприятий по модернизации систем коммунальной инфраструктуры</t>
  </si>
  <si>
    <t xml:space="preserve">   субсидии бюджетам МР на осуществление дорожной деятельности в отношении автомобильных дорог общего пользования</t>
  </si>
  <si>
    <t xml:space="preserve">   субсидии бюджетам МР на создание в общеобразовательных организациях, расположенных в сельской местности, условий для занятий спортом</t>
  </si>
  <si>
    <t xml:space="preserve">   доходы бюджетов МР от возврата МБТ прошлых лет из бюджетов поселений</t>
  </si>
  <si>
    <t>Уточ-нённые назначения на 2014 год</t>
  </si>
  <si>
    <t>Процент исполнения к плану 2014 года (гр.6 / гр.5)</t>
  </si>
  <si>
    <t>Анализ исполнения бюджета Каргатского района за 2014 год по расходам</t>
  </si>
  <si>
    <t>Обеспечение пожарной безопасности</t>
  </si>
  <si>
    <t>0310</t>
  </si>
  <si>
    <t>Уточнённые назначения на 2014 год</t>
  </si>
  <si>
    <t>Анализ исполнения бюджета Каргатского района за 2014 год по расходам в разрезе КОСГУ</t>
  </si>
  <si>
    <t>Отклонение (гр.4 - гр.2)</t>
  </si>
  <si>
    <t>Факт 2014 года к факту 2013 года (гр.4/гр.2)</t>
  </si>
  <si>
    <t>Факт 2014 года к факту 2013 года (Гр.6 / гр.3)</t>
  </si>
  <si>
    <t>Факт 2014 года к факту 2013 года (Гр.9 / гр.3)</t>
  </si>
  <si>
    <t>№ 355 от 20.12.2013</t>
  </si>
  <si>
    <t>Анализ изменений, внесённых в решение 28 сессии Совета депутатов Каргатского района от 20.12.2013 № 355 "О бюджете муниципального образования Каргатского района на 2014 год и плановый период 2015 и 2016 годов"</t>
  </si>
  <si>
    <t>№ 374 от 05.03.2014</t>
  </si>
  <si>
    <t>№ 397 от 05.06.2014</t>
  </si>
  <si>
    <t>№ 409 от 04.09.2014</t>
  </si>
  <si>
    <t>№ 404 от 25.07.2014</t>
  </si>
  <si>
    <t>№ 452 от 25.12.2014</t>
  </si>
  <si>
    <t>Уточ-нённые назначения решением   № 452 от 25.12.2014</t>
  </si>
  <si>
    <t>ВО</t>
  </si>
  <si>
    <t>Д</t>
  </si>
  <si>
    <t>Р</t>
  </si>
  <si>
    <t>ИО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</si>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</sst>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/>
    <xf numFmtId="49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164" fontId="11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5" fontId="10" fillId="0" borderId="1" xfId="1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/>
    <xf numFmtId="0" fontId="13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165" fontId="13" fillId="0" borderId="1" xfId="1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/>
    <xf numFmtId="0" fontId="11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5" fillId="0" borderId="1" xfId="0" applyFont="1" applyBorder="1" applyAlignment="1">
      <alignment vertical="center" wrapText="1"/>
    </xf>
    <xf numFmtId="164" fontId="15" fillId="0" borderId="1" xfId="0" applyNumberFormat="1" applyFont="1" applyBorder="1" applyAlignment="1">
      <alignment horizontal="right" vertical="center" wrapText="1"/>
    </xf>
    <xf numFmtId="165" fontId="15" fillId="0" borderId="1" xfId="1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/>
    <xf numFmtId="49" fontId="10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righ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right" vertical="center" wrapText="1"/>
    </xf>
    <xf numFmtId="165" fontId="18" fillId="0" borderId="1" xfId="1" applyNumberFormat="1" applyFont="1" applyBorder="1" applyAlignment="1">
      <alignment horizontal="righ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1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/>
    <xf numFmtId="0" fontId="5" fillId="0" borderId="1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Alignment="1">
      <alignment vertical="center" wrapText="1"/>
    </xf>
    <xf numFmtId="165" fontId="2" fillId="0" borderId="0" xfId="1" applyNumberFormat="1" applyFont="1" applyAlignment="1">
      <alignment vertical="center" wrapText="1"/>
    </xf>
    <xf numFmtId="165" fontId="10" fillId="0" borderId="0" xfId="1" applyNumberFormat="1" applyFont="1" applyAlignment="1">
      <alignment vertical="center" wrapText="1"/>
    </xf>
    <xf numFmtId="2" fontId="10" fillId="0" borderId="0" xfId="2" applyNumberFormat="1" applyFont="1" applyAlignment="1">
      <alignment vertical="center" wrapText="1"/>
    </xf>
    <xf numFmtId="164" fontId="10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164" fontId="13" fillId="0" borderId="0" xfId="0" applyNumberFormat="1" applyFont="1" applyAlignment="1">
      <alignment vertical="center" wrapText="1"/>
    </xf>
    <xf numFmtId="164" fontId="2" fillId="0" borderId="0" xfId="1" applyNumberFormat="1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5" fontId="5" fillId="0" borderId="0" xfId="1" applyNumberFormat="1" applyFont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 indent="1"/>
    </xf>
    <xf numFmtId="164" fontId="5" fillId="0" borderId="1" xfId="0" applyNumberFormat="1" applyFont="1" applyBorder="1" applyAlignment="1">
      <alignment horizontal="right" vertical="center" indent="1"/>
    </xf>
    <xf numFmtId="165" fontId="2" fillId="0" borderId="1" xfId="1" applyNumberFormat="1" applyFont="1" applyBorder="1" applyAlignment="1">
      <alignment horizontal="right" vertical="center" wrapText="1" indent="1"/>
    </xf>
    <xf numFmtId="165" fontId="5" fillId="0" borderId="1" xfId="1" applyNumberFormat="1" applyFont="1" applyBorder="1" applyAlignment="1">
      <alignment horizontal="right" vertical="center" wrapText="1" indent="1"/>
    </xf>
    <xf numFmtId="164" fontId="7" fillId="0" borderId="0" xfId="0" applyNumberFormat="1" applyFont="1" applyAlignment="1">
      <alignment vertical="center" wrapText="1"/>
    </xf>
    <xf numFmtId="165" fontId="7" fillId="0" borderId="0" xfId="1" applyNumberFormat="1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right" vertical="center" wrapText="1"/>
    </xf>
    <xf numFmtId="164" fontId="9" fillId="0" borderId="8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 indent="1"/>
    </xf>
    <xf numFmtId="165" fontId="0" fillId="0" borderId="0" xfId="1" applyNumberFormat="1" applyFont="1"/>
    <xf numFmtId="165" fontId="1" fillId="0" borderId="0" xfId="1" applyNumberFormat="1" applyFont="1"/>
    <xf numFmtId="165" fontId="11" fillId="0" borderId="0" xfId="1" applyNumberFormat="1" applyFont="1" applyAlignment="1">
      <alignment vertical="center" wrapText="1"/>
    </xf>
    <xf numFmtId="165" fontId="13" fillId="0" borderId="0" xfId="1" applyNumberFormat="1" applyFont="1" applyAlignment="1">
      <alignment vertical="center" wrapText="1"/>
    </xf>
    <xf numFmtId="165" fontId="14" fillId="0" borderId="0" xfId="1" applyNumberFormat="1" applyFont="1"/>
    <xf numFmtId="0" fontId="2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166" fontId="0" fillId="0" borderId="0" xfId="0" applyNumberFormat="1"/>
    <xf numFmtId="166" fontId="1" fillId="0" borderId="0" xfId="0" applyNumberFormat="1" applyFont="1"/>
    <xf numFmtId="166" fontId="22" fillId="0" borderId="0" xfId="0" applyNumberFormat="1" applyFont="1"/>
    <xf numFmtId="166" fontId="23" fillId="0" borderId="0" xfId="0" applyNumberFormat="1" applyFont="1"/>
    <xf numFmtId="164" fontId="25" fillId="0" borderId="0" xfId="0" applyNumberFormat="1" applyFont="1"/>
    <xf numFmtId="164" fontId="0" fillId="0" borderId="0" xfId="0" applyNumberFormat="1"/>
    <xf numFmtId="164" fontId="24" fillId="0" borderId="0" xfId="0" applyNumberFormat="1" applyFont="1"/>
    <xf numFmtId="164" fontId="26" fillId="0" borderId="0" xfId="0" applyNumberFormat="1" applyFont="1"/>
    <xf numFmtId="164" fontId="1" fillId="0" borderId="0" xfId="0" applyNumberFormat="1" applyFont="1"/>
    <xf numFmtId="164" fontId="0" fillId="0" borderId="1" xfId="0" applyNumberFormat="1" applyBorder="1"/>
    <xf numFmtId="164" fontId="1" fillId="0" borderId="1" xfId="0" applyNumberFormat="1" applyFont="1" applyBorder="1"/>
    <xf numFmtId="164" fontId="23" fillId="0" borderId="1" xfId="0" applyNumberFormat="1" applyFont="1" applyBorder="1"/>
    <xf numFmtId="49" fontId="2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5" fontId="12" fillId="0" borderId="1" xfId="1" applyNumberFormat="1" applyFont="1" applyBorder="1"/>
    <xf numFmtId="165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6" fillId="0" borderId="0" xfId="0" applyFont="1"/>
    <xf numFmtId="164" fontId="26" fillId="0" borderId="1" xfId="0" applyNumberFormat="1" applyFont="1" applyBorder="1"/>
    <xf numFmtId="49" fontId="0" fillId="0" borderId="0" xfId="0" applyNumberFormat="1" applyAlignment="1">
      <alignment horizontal="center"/>
    </xf>
    <xf numFmtId="4" fontId="1" fillId="0" borderId="0" xfId="0" applyNumberFormat="1" applyFont="1"/>
    <xf numFmtId="4" fontId="23" fillId="0" borderId="0" xfId="0" applyNumberFormat="1" applyFont="1" applyAlignment="1">
      <alignment horizontal="center"/>
    </xf>
    <xf numFmtId="2" fontId="0" fillId="0" borderId="0" xfId="0" applyNumberFormat="1"/>
    <xf numFmtId="2" fontId="26" fillId="0" borderId="0" xfId="0" applyNumberFormat="1" applyFont="1"/>
    <xf numFmtId="4" fontId="23" fillId="0" borderId="0" xfId="0" applyNumberFormat="1" applyFont="1"/>
    <xf numFmtId="0" fontId="3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77;%20&#1092;&#1072;&#1081;&#1083;&#1099;/&#1056;&#1077;&#1074;&#1082;&#1086;&#1084;/&#1069;&#1082;&#1089;&#1087;&#1077;&#1088;&#1090;&#1080;&#1079;&#1072;%20(&#1075;&#1086;&#1076;&#1086;&#1074;&#1086;&#1081;%20&#1086;&#1090;&#1095;&#1105;&#1090;)/2013/_&#1056;&#1072;&#1081;&#1086;&#1085;/&#1055;&#1088;&#1080;&#1083;&#1086;&#1078;&#1077;&#1085;&#1080;&#1103;%20(&#1090;&#1072;&#1073;&#1083;&#1080;&#1094;&#1099;-201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77;%20&#1092;&#1072;&#1081;&#1083;&#1099;/&#1056;&#1077;&#1074;&#1082;&#1086;&#1084;/&#1069;&#1082;&#1089;&#1087;&#1077;&#1088;&#1090;&#1080;&#1079;&#1072;%20(&#1075;&#1086;&#1076;&#1086;&#1074;&#1086;&#1081;%20&#1086;&#1090;&#1095;&#1105;&#1090;)/2012/_&#1056;&#1072;&#1081;&#1086;&#1085;/&#1055;&#1088;&#1080;&#1083;&#1086;&#1078;&#1077;&#1085;&#1080;&#1103;%20(&#1090;&#1072;&#1073;&#1083;&#1080;&#1094;&#109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  <sheetName val="Таблица 2"/>
      <sheetName val="Таблица 3"/>
      <sheetName val="Таблица 4"/>
      <sheetName val="Таблица 5"/>
    </sheetNames>
    <sheetDataSet>
      <sheetData sheetId="0"/>
      <sheetData sheetId="1">
        <row r="11">
          <cell r="I11">
            <v>33468.199999999997</v>
          </cell>
        </row>
        <row r="12">
          <cell r="I12">
            <v>6676</v>
          </cell>
        </row>
        <row r="13">
          <cell r="I13">
            <v>989.3</v>
          </cell>
        </row>
        <row r="17">
          <cell r="I17">
            <v>826</v>
          </cell>
        </row>
        <row r="18">
          <cell r="I18">
            <v>1917.1</v>
          </cell>
        </row>
        <row r="19">
          <cell r="I19">
            <v>95.9</v>
          </cell>
        </row>
        <row r="20">
          <cell r="I20">
            <v>375.2</v>
          </cell>
        </row>
        <row r="22">
          <cell r="I22">
            <v>88.7</v>
          </cell>
        </row>
        <row r="23">
          <cell r="I23">
            <v>2518.6999999999998</v>
          </cell>
        </row>
        <row r="24">
          <cell r="I24">
            <v>-8.5</v>
          </cell>
        </row>
        <row r="27">
          <cell r="I27">
            <v>79044.399999999994</v>
          </cell>
        </row>
        <row r="31">
          <cell r="I31">
            <v>451.9</v>
          </cell>
        </row>
        <row r="32">
          <cell r="I32">
            <v>9722.6</v>
          </cell>
        </row>
        <row r="34">
          <cell r="I34">
            <v>21090.7</v>
          </cell>
        </row>
        <row r="35">
          <cell r="I35">
            <v>7152</v>
          </cell>
        </row>
        <row r="36">
          <cell r="I36">
            <v>4065.5</v>
          </cell>
        </row>
        <row r="38">
          <cell r="I38">
            <v>145927.5</v>
          </cell>
        </row>
        <row r="43">
          <cell r="I43">
            <v>660</v>
          </cell>
        </row>
        <row r="44">
          <cell r="I44">
            <v>2018.6</v>
          </cell>
        </row>
        <row r="45">
          <cell r="I45">
            <v>184864.9</v>
          </cell>
        </row>
        <row r="46">
          <cell r="I46">
            <v>2244</v>
          </cell>
        </row>
        <row r="47">
          <cell r="I47">
            <v>26644.7</v>
          </cell>
        </row>
        <row r="49">
          <cell r="I49">
            <v>7376.4</v>
          </cell>
        </row>
        <row r="50">
          <cell r="I50">
            <v>614.70000000000005</v>
          </cell>
        </row>
        <row r="51">
          <cell r="I51">
            <v>47802</v>
          </cell>
        </row>
        <row r="53">
          <cell r="I53">
            <v>1108.7</v>
          </cell>
        </row>
        <row r="54">
          <cell r="I54">
            <v>627.4</v>
          </cell>
        </row>
        <row r="55">
          <cell r="I55">
            <v>117</v>
          </cell>
        </row>
        <row r="57">
          <cell r="I57">
            <v>8048.2</v>
          </cell>
        </row>
        <row r="58">
          <cell r="I58">
            <v>195.8</v>
          </cell>
        </row>
        <row r="59">
          <cell r="I59">
            <v>2088</v>
          </cell>
        </row>
        <row r="60">
          <cell r="I60">
            <v>-93.5</v>
          </cell>
        </row>
      </sheetData>
      <sheetData sheetId="2">
        <row r="10">
          <cell r="I10">
            <v>1486.5</v>
          </cell>
        </row>
        <row r="11">
          <cell r="I11">
            <v>2678.9</v>
          </cell>
        </row>
        <row r="12">
          <cell r="I12">
            <v>31757</v>
          </cell>
        </row>
        <row r="14">
          <cell r="I14">
            <v>1884.9</v>
          </cell>
        </row>
        <row r="15">
          <cell r="I15">
            <v>1736.2</v>
          </cell>
        </row>
        <row r="17">
          <cell r="I17">
            <v>3082.6</v>
          </cell>
        </row>
        <row r="19">
          <cell r="I19">
            <v>660</v>
          </cell>
        </row>
        <row r="20">
          <cell r="I20">
            <v>39.799999999999997</v>
          </cell>
        </row>
        <row r="23">
          <cell r="I23">
            <v>1077.2</v>
          </cell>
        </row>
        <row r="25">
          <cell r="I25">
            <v>599.9</v>
          </cell>
        </row>
        <row r="26">
          <cell r="I26">
            <v>28408.3</v>
          </cell>
        </row>
        <row r="27">
          <cell r="I27">
            <v>3133.4</v>
          </cell>
        </row>
        <row r="29">
          <cell r="I29">
            <v>2150</v>
          </cell>
        </row>
        <row r="30">
          <cell r="I30">
            <v>9861.2999999999993</v>
          </cell>
        </row>
        <row r="32">
          <cell r="I32">
            <v>6648.6</v>
          </cell>
        </row>
        <row r="34">
          <cell r="I34">
            <v>3965.1</v>
          </cell>
        </row>
        <row r="35">
          <cell r="I35">
            <v>6655.3</v>
          </cell>
        </row>
        <row r="36">
          <cell r="I36">
            <v>168.3</v>
          </cell>
        </row>
        <row r="38">
          <cell r="I38">
            <v>265</v>
          </cell>
        </row>
        <row r="40">
          <cell r="I40">
            <v>58847.3</v>
          </cell>
        </row>
        <row r="41">
          <cell r="I41">
            <v>229863.6</v>
          </cell>
        </row>
        <row r="42">
          <cell r="I42">
            <v>2984.3</v>
          </cell>
        </row>
        <row r="43">
          <cell r="I43">
            <v>16618.8</v>
          </cell>
        </row>
        <row r="47">
          <cell r="I47">
            <v>18800.099999999999</v>
          </cell>
        </row>
        <row r="55">
          <cell r="I55">
            <v>704.1</v>
          </cell>
        </row>
        <row r="56">
          <cell r="I56">
            <v>17248.8</v>
          </cell>
        </row>
        <row r="57">
          <cell r="I57">
            <v>22284.7</v>
          </cell>
        </row>
        <row r="58">
          <cell r="I58">
            <v>27215.8</v>
          </cell>
        </row>
        <row r="59">
          <cell r="I59">
            <v>277.2</v>
          </cell>
        </row>
        <row r="61">
          <cell r="I61">
            <v>2071.1999999999998</v>
          </cell>
        </row>
        <row r="62">
          <cell r="I62">
            <v>750</v>
          </cell>
        </row>
        <row r="64">
          <cell r="I64">
            <v>83565.600000000006</v>
          </cell>
        </row>
        <row r="65">
          <cell r="I65">
            <v>21994.3</v>
          </cell>
        </row>
      </sheetData>
      <sheetData sheetId="3">
        <row r="8">
          <cell r="G8">
            <v>199394.1</v>
          </cell>
        </row>
        <row r="9">
          <cell r="G9">
            <v>563.5</v>
          </cell>
        </row>
        <row r="10">
          <cell r="G10">
            <v>58465.4</v>
          </cell>
        </row>
        <row r="11">
          <cell r="G11">
            <v>2091.9</v>
          </cell>
        </row>
        <row r="12">
          <cell r="G12">
            <v>355.2</v>
          </cell>
        </row>
        <row r="13">
          <cell r="G13">
            <v>18865.2</v>
          </cell>
        </row>
        <row r="14">
          <cell r="G14">
            <v>528</v>
          </cell>
        </row>
        <row r="15">
          <cell r="G15">
            <v>10504.1</v>
          </cell>
        </row>
        <row r="16">
          <cell r="G16">
            <v>20229.599999999999</v>
          </cell>
        </row>
        <row r="17">
          <cell r="G17">
            <v>47065</v>
          </cell>
        </row>
        <row r="18">
          <cell r="G18">
            <v>3613.9</v>
          </cell>
        </row>
        <row r="19">
          <cell r="G19">
            <v>126227.9</v>
          </cell>
        </row>
        <row r="20">
          <cell r="G20">
            <v>31048.6</v>
          </cell>
        </row>
        <row r="21">
          <cell r="G21">
            <v>704.1</v>
          </cell>
        </row>
        <row r="22">
          <cell r="G22">
            <v>8342.4</v>
          </cell>
        </row>
        <row r="23">
          <cell r="G23">
            <v>53601.7</v>
          </cell>
        </row>
        <row r="24">
          <cell r="G24">
            <v>27883.4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  <sheetName val="Таблица 2"/>
      <sheetName val="Таблица 3"/>
      <sheetName val="Таблица 4"/>
      <sheetName val="Таблица 5"/>
    </sheetNames>
    <sheetDataSet>
      <sheetData sheetId="0"/>
      <sheetData sheetId="1">
        <row r="11">
          <cell r="I11">
            <v>33391.4</v>
          </cell>
        </row>
      </sheetData>
      <sheetData sheetId="2">
        <row r="10">
          <cell r="I10">
            <v>1164.0999999999999</v>
          </cell>
        </row>
        <row r="30">
          <cell r="I30"/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zoomScale="90" zoomScaleNormal="90" workbookViewId="0"/>
  </sheetViews>
  <sheetFormatPr defaultRowHeight="15" x14ac:dyDescent="0.25"/>
  <cols>
    <col min="1" max="1" width="5.7109375" customWidth="1"/>
    <col min="2" max="2" width="35.7109375" customWidth="1"/>
    <col min="3" max="5" width="10.7109375" customWidth="1"/>
    <col min="6" max="6" width="11.28515625" customWidth="1"/>
    <col min="7" max="12" width="10.7109375" customWidth="1"/>
    <col min="13" max="13" width="10.28515625" customWidth="1"/>
    <col min="14" max="14" width="8.42578125" hidden="1" customWidth="1"/>
    <col min="15" max="15" width="10.28515625" hidden="1" customWidth="1"/>
    <col min="16" max="16" width="8.42578125" hidden="1" customWidth="1"/>
    <col min="17" max="17" width="6.85546875" hidden="1" customWidth="1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19" t="s">
        <v>36</v>
      </c>
      <c r="L1" s="119"/>
      <c r="M1" s="119"/>
      <c r="N1" s="1"/>
      <c r="O1" s="1"/>
      <c r="P1" s="1"/>
    </row>
    <row r="2" spans="1:17" ht="11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22.5" customHeight="1" x14ac:dyDescent="0.25">
      <c r="A3" s="120" t="s">
        <v>222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"/>
      <c r="O3" s="1"/>
      <c r="P3" s="1"/>
    </row>
    <row r="4" spans="1:17" ht="9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s="3" customFormat="1" ht="24.9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118" t="s">
        <v>213</v>
      </c>
      <c r="L5" s="118"/>
      <c r="M5" s="118"/>
      <c r="N5" s="2"/>
      <c r="O5" s="2"/>
      <c r="P5" s="2"/>
    </row>
    <row r="6" spans="1:17" s="17" customFormat="1" ht="80.099999999999994" customHeight="1" x14ac:dyDescent="0.2">
      <c r="A6" s="19" t="s">
        <v>5</v>
      </c>
      <c r="B6" s="19" t="s">
        <v>2</v>
      </c>
      <c r="C6" s="19" t="s">
        <v>216</v>
      </c>
      <c r="D6" s="19" t="s">
        <v>223</v>
      </c>
      <c r="E6" s="19" t="s">
        <v>256</v>
      </c>
      <c r="F6" s="19" t="s">
        <v>40</v>
      </c>
      <c r="G6" s="18" t="s">
        <v>38</v>
      </c>
      <c r="H6" s="18" t="s">
        <v>39</v>
      </c>
      <c r="I6" s="19" t="s">
        <v>227</v>
      </c>
      <c r="J6" s="18" t="s">
        <v>184</v>
      </c>
      <c r="K6" s="18" t="s">
        <v>185</v>
      </c>
      <c r="L6" s="18" t="s">
        <v>224</v>
      </c>
      <c r="M6" s="18" t="s">
        <v>248</v>
      </c>
      <c r="N6" s="16"/>
      <c r="O6" s="16"/>
      <c r="P6" s="16"/>
    </row>
    <row r="7" spans="1:17" s="17" customFormat="1" ht="15" customHeight="1" x14ac:dyDescent="0.2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6"/>
      <c r="O7" s="16"/>
      <c r="P7" s="16"/>
    </row>
    <row r="8" spans="1:17" ht="30" customHeight="1" x14ac:dyDescent="0.25">
      <c r="A8" s="8"/>
      <c r="B8" s="8" t="s">
        <v>214</v>
      </c>
      <c r="C8" s="13">
        <f>C9+C10</f>
        <v>53629.3</v>
      </c>
      <c r="D8" s="13">
        <f>D9+D10</f>
        <v>62123.799999999996</v>
      </c>
      <c r="E8" s="13">
        <f>E9+E10</f>
        <v>59613.299999999996</v>
      </c>
      <c r="F8" s="13">
        <f>F9+F10</f>
        <v>59613.299999999996</v>
      </c>
      <c r="G8" s="13">
        <f>E8-D8</f>
        <v>-2510.5</v>
      </c>
      <c r="H8" s="13">
        <f>F8-E8</f>
        <v>0</v>
      </c>
      <c r="I8" s="13">
        <f>I9+I10+0.1</f>
        <v>59824.799999999996</v>
      </c>
      <c r="J8" s="13">
        <f>I8-D8</f>
        <v>-2299</v>
      </c>
      <c r="K8" s="13">
        <f>I8-F8</f>
        <v>211.5</v>
      </c>
      <c r="L8" s="26">
        <f>I8/F8</f>
        <v>1.0035478659963464</v>
      </c>
      <c r="M8" s="26">
        <f>I8/C8</f>
        <v>1.11552453602788</v>
      </c>
      <c r="N8" s="61">
        <f>I8/I12</f>
        <v>9.0287874777052718E-2</v>
      </c>
      <c r="O8" s="61">
        <f>I8/D8</f>
        <v>0.96299324896416505</v>
      </c>
      <c r="P8" s="1"/>
      <c r="Q8" s="107">
        <f>I8/D8</f>
        <v>0.96299324896416505</v>
      </c>
    </row>
    <row r="9" spans="1:17" s="33" customFormat="1" ht="20.100000000000001" customHeight="1" x14ac:dyDescent="0.25">
      <c r="A9" s="30"/>
      <c r="B9" s="30" t="s">
        <v>44</v>
      </c>
      <c r="C9" s="22">
        <f>'Таблица 2'!C10</f>
        <v>41133.5</v>
      </c>
      <c r="D9" s="22">
        <f>Прочее!A5</f>
        <v>49797.299999999996</v>
      </c>
      <c r="E9" s="22">
        <f>'Таблица 2'!E10</f>
        <v>46390.799999999996</v>
      </c>
      <c r="F9" s="22">
        <f>'Таблица 2'!E10</f>
        <v>46390.799999999996</v>
      </c>
      <c r="G9" s="22">
        <f>E9-D9</f>
        <v>-3406.5</v>
      </c>
      <c r="H9" s="22">
        <f>F9-E9</f>
        <v>0</v>
      </c>
      <c r="I9" s="22">
        <f>'Таблица 2'!I10</f>
        <v>46318.2</v>
      </c>
      <c r="J9" s="22">
        <f>I9-D9</f>
        <v>-3479.0999999999985</v>
      </c>
      <c r="K9" s="22">
        <f t="shared" ref="K9:K11" si="0">I9-F9</f>
        <v>-72.599999999998545</v>
      </c>
      <c r="L9" s="31">
        <f t="shared" ref="L9:L24" si="1">I9/F9</f>
        <v>0.9984350345327091</v>
      </c>
      <c r="M9" s="31">
        <f>I9/C9</f>
        <v>1.1260456805280368</v>
      </c>
      <c r="N9" s="32"/>
      <c r="O9" s="63"/>
      <c r="P9" s="32"/>
      <c r="Q9" s="107">
        <f>I9/D9</f>
        <v>0.93013476634275349</v>
      </c>
    </row>
    <row r="10" spans="1:17" s="33" customFormat="1" ht="20.100000000000001" customHeight="1" x14ac:dyDescent="0.25">
      <c r="A10" s="30"/>
      <c r="B10" s="30" t="s">
        <v>45</v>
      </c>
      <c r="C10" s="22">
        <f>'Таблица 2'!C16</f>
        <v>12495.800000000003</v>
      </c>
      <c r="D10" s="22">
        <f>Прочее!A11</f>
        <v>12326.5</v>
      </c>
      <c r="E10" s="22">
        <f>'Таблица 2'!E16</f>
        <v>13222.5</v>
      </c>
      <c r="F10" s="22">
        <f>'Таблица 2'!E16</f>
        <v>13222.5</v>
      </c>
      <c r="G10" s="22">
        <f>E10-D10</f>
        <v>896</v>
      </c>
      <c r="H10" s="22">
        <f t="shared" ref="H10:H23" si="2">F10-E10</f>
        <v>0</v>
      </c>
      <c r="I10" s="22">
        <f>'Таблица 2'!I16</f>
        <v>13506.499999999998</v>
      </c>
      <c r="J10" s="22">
        <f t="shared" ref="J10:J11" si="3">I10-D10</f>
        <v>1179.9999999999982</v>
      </c>
      <c r="K10" s="22">
        <f t="shared" si="0"/>
        <v>283.99999999999818</v>
      </c>
      <c r="L10" s="31">
        <f t="shared" si="1"/>
        <v>1.021478540366799</v>
      </c>
      <c r="M10" s="31">
        <f t="shared" ref="M10:M24" si="4">I10/C10</f>
        <v>1.0808831767473868</v>
      </c>
      <c r="N10" s="32"/>
      <c r="O10" s="62"/>
      <c r="P10" s="32"/>
      <c r="Q10" s="107">
        <f>I10/D10</f>
        <v>1.0957287145580659</v>
      </c>
    </row>
    <row r="11" spans="1:17" ht="20.100000000000001" customHeight="1" x14ac:dyDescent="0.25">
      <c r="A11" s="8"/>
      <c r="B11" s="8" t="s">
        <v>35</v>
      </c>
      <c r="C11" s="13">
        <f>'Таблица 2'!C28</f>
        <v>551771.60000000009</v>
      </c>
      <c r="D11" s="13">
        <f>'Таблица 5'!C12</f>
        <v>620506.9</v>
      </c>
      <c r="E11" s="13">
        <f>'Таблица 5'!M12</f>
        <v>621730.4</v>
      </c>
      <c r="F11" s="13">
        <f>'Таблица 2'!E28</f>
        <v>621730.4</v>
      </c>
      <c r="G11" s="13">
        <f>E11-D11</f>
        <v>1223.5</v>
      </c>
      <c r="H11" s="13">
        <f t="shared" si="2"/>
        <v>0</v>
      </c>
      <c r="I11" s="13">
        <f>'Таблица 2'!I28</f>
        <v>602775.79999999993</v>
      </c>
      <c r="J11" s="13">
        <f t="shared" si="3"/>
        <v>-17731.100000000093</v>
      </c>
      <c r="K11" s="13">
        <f t="shared" si="0"/>
        <v>-18954.600000000093</v>
      </c>
      <c r="L11" s="26">
        <f t="shared" si="1"/>
        <v>0.96951315232454438</v>
      </c>
      <c r="M11" s="26">
        <f t="shared" si="4"/>
        <v>1.0924371605932597</v>
      </c>
      <c r="N11" s="61">
        <f>I12/D12</f>
        <v>0.97065748727679535</v>
      </c>
      <c r="O11" s="61">
        <f>I11/D11</f>
        <v>0.97142481413180082</v>
      </c>
      <c r="P11" s="1"/>
      <c r="Q11" s="80"/>
    </row>
    <row r="12" spans="1:17" s="6" customFormat="1" ht="20.100000000000001" customHeight="1" x14ac:dyDescent="0.25">
      <c r="A12" s="9"/>
      <c r="B12" s="9" t="s">
        <v>6</v>
      </c>
      <c r="C12" s="10">
        <f>C8+C11</f>
        <v>605400.90000000014</v>
      </c>
      <c r="D12" s="10">
        <f>D8+D11</f>
        <v>682630.70000000007</v>
      </c>
      <c r="E12" s="10">
        <f>E8+E11</f>
        <v>681343.70000000007</v>
      </c>
      <c r="F12" s="10">
        <f>F8+F11</f>
        <v>681343.70000000007</v>
      </c>
      <c r="G12" s="10">
        <f>G8+G11</f>
        <v>-1287</v>
      </c>
      <c r="H12" s="24">
        <f>F12-E12</f>
        <v>0</v>
      </c>
      <c r="I12" s="10">
        <f>I8+I11</f>
        <v>662600.6</v>
      </c>
      <c r="J12" s="10">
        <f>J8+J11</f>
        <v>-20030.100000000093</v>
      </c>
      <c r="K12" s="10">
        <f>K8+K11</f>
        <v>-18743.100000000093</v>
      </c>
      <c r="L12" s="27">
        <f t="shared" si="1"/>
        <v>0.97249097628700454</v>
      </c>
      <c r="M12" s="27">
        <f t="shared" si="4"/>
        <v>1.094482350455706</v>
      </c>
      <c r="N12" s="5"/>
      <c r="O12" s="60"/>
      <c r="P12" s="5"/>
      <c r="Q12" s="81"/>
    </row>
    <row r="13" spans="1:17" ht="20.100000000000001" customHeight="1" x14ac:dyDescent="0.25">
      <c r="A13" s="11" t="s">
        <v>8</v>
      </c>
      <c r="B13" s="8" t="s">
        <v>24</v>
      </c>
      <c r="C13" s="13">
        <f>'Таблица 3'!C9</f>
        <v>42626.100000000006</v>
      </c>
      <c r="D13" s="13">
        <f>'Таблица 5'!C15</f>
        <v>45199.199999999997</v>
      </c>
      <c r="E13" s="13">
        <f>'Таблица 5'!M15</f>
        <v>46320.700000000004</v>
      </c>
      <c r="F13" s="13">
        <f>'Таблица 3'!E9</f>
        <v>45991.9</v>
      </c>
      <c r="G13" s="13">
        <f t="shared" ref="G13:G23" si="5">E13-D13</f>
        <v>1121.5000000000073</v>
      </c>
      <c r="H13" s="13">
        <f>F13-E13</f>
        <v>-328.80000000000291</v>
      </c>
      <c r="I13" s="13">
        <f>'Таблица 3'!I9</f>
        <v>44163.700000000004</v>
      </c>
      <c r="J13" s="13">
        <f t="shared" ref="J13:J23" si="6">I13-D13</f>
        <v>-1035.4999999999927</v>
      </c>
      <c r="K13" s="13">
        <f>I13-F13</f>
        <v>-1828.1999999999971</v>
      </c>
      <c r="L13" s="26">
        <f t="shared" si="1"/>
        <v>0.96024952219847415</v>
      </c>
      <c r="M13" s="26">
        <f t="shared" si="4"/>
        <v>1.0360717963876591</v>
      </c>
      <c r="N13" s="61">
        <f>I13/I24</f>
        <v>6.6533981463040445E-2</v>
      </c>
      <c r="O13" s="67">
        <f>I13-C13</f>
        <v>1537.5999999999985</v>
      </c>
      <c r="P13" s="61">
        <f>O13/C13</f>
        <v>3.6071796387659165E-2</v>
      </c>
      <c r="Q13" s="80"/>
    </row>
    <row r="14" spans="1:17" ht="20.100000000000001" customHeight="1" x14ac:dyDescent="0.25">
      <c r="A14" s="11" t="s">
        <v>9</v>
      </c>
      <c r="B14" s="8" t="s">
        <v>25</v>
      </c>
      <c r="C14" s="13">
        <f>'Таблица 3'!C19</f>
        <v>699.8</v>
      </c>
      <c r="D14" s="13">
        <f>'Таблица 5'!C16</f>
        <v>769.3</v>
      </c>
      <c r="E14" s="13">
        <f>'Таблица 5'!M16</f>
        <v>816.3</v>
      </c>
      <c r="F14" s="13">
        <f>'Таблица 3'!E19</f>
        <v>816.3</v>
      </c>
      <c r="G14" s="13">
        <f t="shared" si="5"/>
        <v>47</v>
      </c>
      <c r="H14" s="13">
        <f t="shared" si="2"/>
        <v>0</v>
      </c>
      <c r="I14" s="13">
        <f>'Таблица 3'!I19</f>
        <v>791.9</v>
      </c>
      <c r="J14" s="13">
        <f t="shared" si="6"/>
        <v>22.600000000000023</v>
      </c>
      <c r="K14" s="13">
        <f t="shared" ref="K14:K23" si="7">I14-F14</f>
        <v>-24.399999999999977</v>
      </c>
      <c r="L14" s="26">
        <f t="shared" si="1"/>
        <v>0.97010902854342773</v>
      </c>
      <c r="M14" s="26">
        <f t="shared" si="4"/>
        <v>1.1316090311517577</v>
      </c>
      <c r="N14" s="61">
        <f>I14/I24</f>
        <v>1.1930218691047563E-3</v>
      </c>
      <c r="O14" s="67">
        <f t="shared" ref="O14:O23" si="8">I14-C14</f>
        <v>92.100000000000023</v>
      </c>
      <c r="P14" s="61">
        <f t="shared" ref="P14:P24" si="9">O14/C14</f>
        <v>0.13160903115175768</v>
      </c>
      <c r="Q14" s="80"/>
    </row>
    <row r="15" spans="1:17" ht="31.5" x14ac:dyDescent="0.25">
      <c r="A15" s="11" t="s">
        <v>10</v>
      </c>
      <c r="B15" s="8" t="s">
        <v>215</v>
      </c>
      <c r="C15" s="13">
        <f>'Таблица 3'!C22</f>
        <v>1077.2</v>
      </c>
      <c r="D15" s="13">
        <f>'Таблица 5'!C17</f>
        <v>1997</v>
      </c>
      <c r="E15" s="13">
        <f>'Таблица 5'!M17</f>
        <v>1647</v>
      </c>
      <c r="F15" s="13">
        <f>'Таблица 3'!E22</f>
        <v>1677</v>
      </c>
      <c r="G15" s="13">
        <f t="shared" si="5"/>
        <v>-350</v>
      </c>
      <c r="H15" s="13">
        <f t="shared" si="2"/>
        <v>30</v>
      </c>
      <c r="I15" s="13">
        <f>'Таблица 3'!I22</f>
        <v>1400.8</v>
      </c>
      <c r="J15" s="13">
        <f t="shared" si="6"/>
        <v>-596.20000000000005</v>
      </c>
      <c r="K15" s="13">
        <f t="shared" si="7"/>
        <v>-276.20000000000005</v>
      </c>
      <c r="L15" s="26">
        <f t="shared" si="1"/>
        <v>0.83530113297555153</v>
      </c>
      <c r="M15" s="26">
        <f t="shared" si="4"/>
        <v>1.3004084663943556</v>
      </c>
      <c r="N15" s="61">
        <f>I15/I24</f>
        <v>2.110348572094889E-3</v>
      </c>
      <c r="O15" s="67">
        <f t="shared" si="8"/>
        <v>323.59999999999991</v>
      </c>
      <c r="P15" s="61">
        <f t="shared" si="9"/>
        <v>0.30040846639435564</v>
      </c>
      <c r="Q15" s="80"/>
    </row>
    <row r="16" spans="1:17" ht="20.100000000000001" customHeight="1" x14ac:dyDescent="0.25">
      <c r="A16" s="11" t="s">
        <v>11</v>
      </c>
      <c r="B16" s="8" t="s">
        <v>27</v>
      </c>
      <c r="C16" s="13">
        <f>'Таблица 3'!C25</f>
        <v>50801.500000000007</v>
      </c>
      <c r="D16" s="13">
        <f>'Таблица 5'!C18</f>
        <v>102146.9</v>
      </c>
      <c r="E16" s="13">
        <f>'Таблица 5'!M18</f>
        <v>49930.999999999993</v>
      </c>
      <c r="F16" s="13">
        <f>'Таблица 3'!E25</f>
        <v>49931</v>
      </c>
      <c r="G16" s="13">
        <f t="shared" si="5"/>
        <v>-52215.9</v>
      </c>
      <c r="H16" s="13">
        <f t="shared" si="2"/>
        <v>0</v>
      </c>
      <c r="I16" s="13">
        <f>'Таблица 3'!I25</f>
        <v>43017.1</v>
      </c>
      <c r="J16" s="13">
        <f t="shared" si="6"/>
        <v>-59129.799999999996</v>
      </c>
      <c r="K16" s="13">
        <f t="shared" si="7"/>
        <v>-6913.9000000000015</v>
      </c>
      <c r="L16" s="26">
        <f t="shared" si="1"/>
        <v>0.86153091265947002</v>
      </c>
      <c r="M16" s="26">
        <f t="shared" si="4"/>
        <v>0.84676830408550918</v>
      </c>
      <c r="N16" s="61">
        <f>I16/I24</f>
        <v>6.4806593061581277E-2</v>
      </c>
      <c r="O16" s="67">
        <f t="shared" si="8"/>
        <v>-7784.4000000000087</v>
      </c>
      <c r="P16" s="61">
        <f t="shared" si="9"/>
        <v>-0.15323169591449087</v>
      </c>
      <c r="Q16" s="80"/>
    </row>
    <row r="17" spans="1:17" ht="20.100000000000001" customHeight="1" x14ac:dyDescent="0.25">
      <c r="A17" s="11" t="s">
        <v>12</v>
      </c>
      <c r="B17" s="8" t="s">
        <v>28</v>
      </c>
      <c r="C17" s="13">
        <f>'Таблица 3'!C34</f>
        <v>10788.699999999999</v>
      </c>
      <c r="D17" s="13">
        <f>'Таблица 5'!C19</f>
        <v>13193.2</v>
      </c>
      <c r="E17" s="13">
        <f>'Таблица 5'!M19</f>
        <v>65421.399999999994</v>
      </c>
      <c r="F17" s="13">
        <f>'Таблица 3'!E34</f>
        <v>65421.4</v>
      </c>
      <c r="G17" s="13">
        <f t="shared" si="5"/>
        <v>52228.2</v>
      </c>
      <c r="H17" s="13">
        <f t="shared" si="2"/>
        <v>0</v>
      </c>
      <c r="I17" s="13">
        <f>'Таблица 3'!I34</f>
        <v>60212.5</v>
      </c>
      <c r="J17" s="13">
        <f t="shared" si="6"/>
        <v>47019.3</v>
      </c>
      <c r="K17" s="13">
        <f t="shared" si="7"/>
        <v>-5208.9000000000015</v>
      </c>
      <c r="L17" s="26">
        <f t="shared" si="1"/>
        <v>0.92037926427743821</v>
      </c>
      <c r="M17" s="26">
        <f t="shared" si="4"/>
        <v>5.5810709353304855</v>
      </c>
      <c r="N17" s="61">
        <f>I17/I24</f>
        <v>9.0711995572004211E-2</v>
      </c>
      <c r="O17" s="67">
        <f t="shared" si="8"/>
        <v>49423.8</v>
      </c>
      <c r="P17" s="61">
        <f t="shared" si="9"/>
        <v>4.5810709353304855</v>
      </c>
      <c r="Q17" s="80"/>
    </row>
    <row r="18" spans="1:17" ht="20.100000000000001" customHeight="1" x14ac:dyDescent="0.25">
      <c r="A18" s="11" t="s">
        <v>13</v>
      </c>
      <c r="B18" s="8" t="s">
        <v>29</v>
      </c>
      <c r="C18" s="13">
        <f>'Таблица 3'!C38</f>
        <v>265</v>
      </c>
      <c r="D18" s="13">
        <f>'Таблица 5'!C20</f>
        <v>1904.7</v>
      </c>
      <c r="E18" s="13">
        <f>'Таблица 5'!M20</f>
        <v>791.3000000000003</v>
      </c>
      <c r="F18" s="13">
        <f>'Таблица 3'!E38</f>
        <v>791.3</v>
      </c>
      <c r="G18" s="13">
        <f t="shared" si="5"/>
        <v>-1113.3999999999996</v>
      </c>
      <c r="H18" s="13">
        <f t="shared" si="2"/>
        <v>0</v>
      </c>
      <c r="I18" s="13">
        <f>'Таблица 3'!I38</f>
        <v>774.8</v>
      </c>
      <c r="J18" s="13">
        <f t="shared" si="6"/>
        <v>-1129.9000000000001</v>
      </c>
      <c r="K18" s="13">
        <f t="shared" si="7"/>
        <v>-16.5</v>
      </c>
      <c r="L18" s="26">
        <f t="shared" si="1"/>
        <v>0.97914823707822574</v>
      </c>
      <c r="M18" s="26">
        <f t="shared" si="4"/>
        <v>2.9237735849056601</v>
      </c>
      <c r="N18" s="61">
        <f>I18/I24</f>
        <v>1.1672601896481438E-3</v>
      </c>
      <c r="O18" s="67">
        <f t="shared" si="8"/>
        <v>509.79999999999995</v>
      </c>
      <c r="P18" s="61">
        <f t="shared" si="9"/>
        <v>1.9237735849056603</v>
      </c>
      <c r="Q18" s="80"/>
    </row>
    <row r="19" spans="1:17" ht="20.100000000000001" customHeight="1" x14ac:dyDescent="0.25">
      <c r="A19" s="11" t="s">
        <v>14</v>
      </c>
      <c r="B19" s="8" t="s">
        <v>30</v>
      </c>
      <c r="C19" s="13">
        <f>'Таблица 3'!C41</f>
        <v>308314</v>
      </c>
      <c r="D19" s="13">
        <f>'Таблица 5'!C21</f>
        <v>330656.59999999998</v>
      </c>
      <c r="E19" s="13">
        <f>'Таблица 5'!M21</f>
        <v>328026.3</v>
      </c>
      <c r="F19" s="13">
        <f>'Таблица 3'!E41</f>
        <v>328026.3</v>
      </c>
      <c r="G19" s="13">
        <f t="shared" si="5"/>
        <v>-2630.2999999999884</v>
      </c>
      <c r="H19" s="13">
        <f t="shared" si="2"/>
        <v>0</v>
      </c>
      <c r="I19" s="13">
        <f>'Таблица 3'!I41</f>
        <v>320609.8</v>
      </c>
      <c r="J19" s="13">
        <f t="shared" si="6"/>
        <v>-10046.799999999988</v>
      </c>
      <c r="K19" s="13">
        <f t="shared" si="7"/>
        <v>-7416.5</v>
      </c>
      <c r="L19" s="26">
        <f t="shared" si="1"/>
        <v>0.97739053240548091</v>
      </c>
      <c r="M19" s="26">
        <f t="shared" si="4"/>
        <v>1.0398807709023916</v>
      </c>
      <c r="N19" s="61">
        <f>I19/I24</f>
        <v>0.48300859054085377</v>
      </c>
      <c r="O19" s="67">
        <f t="shared" si="8"/>
        <v>12295.799999999988</v>
      </c>
      <c r="P19" s="61">
        <f t="shared" si="9"/>
        <v>3.9880770902391678E-2</v>
      </c>
      <c r="Q19" s="80"/>
    </row>
    <row r="20" spans="1:17" ht="20.100000000000001" customHeight="1" x14ac:dyDescent="0.25">
      <c r="A20" s="11" t="s">
        <v>15</v>
      </c>
      <c r="B20" s="8" t="s">
        <v>32</v>
      </c>
      <c r="C20" s="13">
        <f>'Таблица 3'!C46</f>
        <v>18800.099999999999</v>
      </c>
      <c r="D20" s="13">
        <f>'Таблица 5'!C22</f>
        <v>19394.400000000001</v>
      </c>
      <c r="E20" s="13">
        <f>'Таблица 5'!M22</f>
        <v>18293.7</v>
      </c>
      <c r="F20" s="13">
        <f>'Таблица 3'!E46</f>
        <v>18293.7</v>
      </c>
      <c r="G20" s="13">
        <f t="shared" si="5"/>
        <v>-1100.7000000000007</v>
      </c>
      <c r="H20" s="13">
        <f t="shared" si="2"/>
        <v>0</v>
      </c>
      <c r="I20" s="13">
        <f>'Таблица 3'!I46</f>
        <v>18270.3</v>
      </c>
      <c r="J20" s="13">
        <f t="shared" si="6"/>
        <v>-1124.1000000000022</v>
      </c>
      <c r="K20" s="13">
        <f t="shared" si="7"/>
        <v>-23.400000000001455</v>
      </c>
      <c r="L20" s="26">
        <f t="shared" si="1"/>
        <v>0.99872087111956565</v>
      </c>
      <c r="M20" s="26">
        <f t="shared" si="4"/>
        <v>0.97181929883351692</v>
      </c>
      <c r="N20" s="61">
        <f>I20/I24</f>
        <v>2.752477264187982E-2</v>
      </c>
      <c r="O20" s="67">
        <f t="shared" si="8"/>
        <v>-529.79999999999927</v>
      </c>
      <c r="P20" s="61">
        <f t="shared" si="9"/>
        <v>-2.8180701166483121E-2</v>
      </c>
      <c r="Q20" s="80"/>
    </row>
    <row r="21" spans="1:17" ht="20.100000000000001" customHeight="1" x14ac:dyDescent="0.25">
      <c r="A21" s="11" t="s">
        <v>16</v>
      </c>
      <c r="B21" s="8" t="s">
        <v>31</v>
      </c>
      <c r="C21" s="13">
        <f>'Таблица 3'!C48</f>
        <v>67730.599999999991</v>
      </c>
      <c r="D21" s="13">
        <f>'Таблица 5'!C23</f>
        <v>65231.7</v>
      </c>
      <c r="E21" s="13">
        <f>'Таблица 5'!M23</f>
        <v>60516.599999999991</v>
      </c>
      <c r="F21" s="13">
        <f>'Таблица 3'!E48</f>
        <v>60516.600000000006</v>
      </c>
      <c r="G21" s="13">
        <f t="shared" si="5"/>
        <v>-4715.1000000000058</v>
      </c>
      <c r="H21" s="13">
        <f t="shared" si="2"/>
        <v>0</v>
      </c>
      <c r="I21" s="13">
        <f>'Таблица 3'!I48</f>
        <v>58165</v>
      </c>
      <c r="J21" s="13">
        <f t="shared" si="6"/>
        <v>-7066.6999999999971</v>
      </c>
      <c r="K21" s="13">
        <f t="shared" si="7"/>
        <v>-2351.6000000000058</v>
      </c>
      <c r="L21" s="26">
        <f t="shared" si="1"/>
        <v>0.96114124058522776</v>
      </c>
      <c r="M21" s="26">
        <f t="shared" si="4"/>
        <v>0.85876989130466885</v>
      </c>
      <c r="N21" s="61">
        <f>I21/I24</f>
        <v>8.7627373426541422E-2</v>
      </c>
      <c r="O21" s="67">
        <f t="shared" si="8"/>
        <v>-9565.5999999999913</v>
      </c>
      <c r="P21" s="61">
        <f t="shared" si="9"/>
        <v>-0.14123010869533109</v>
      </c>
      <c r="Q21" s="80"/>
    </row>
    <row r="22" spans="1:17" ht="20.100000000000001" customHeight="1" x14ac:dyDescent="0.25">
      <c r="A22" s="11" t="s">
        <v>17</v>
      </c>
      <c r="B22" s="8" t="s">
        <v>33</v>
      </c>
      <c r="C22" s="13">
        <f>'Таблица 3'!C54</f>
        <v>2821.2</v>
      </c>
      <c r="D22" s="13">
        <f>'Таблица 5'!C24</f>
        <v>3481.7</v>
      </c>
      <c r="E22" s="13">
        <f>'Таблица 5'!M24</f>
        <v>4381.7</v>
      </c>
      <c r="F22" s="13">
        <f>'Таблица 3'!E54</f>
        <v>4381.7</v>
      </c>
      <c r="G22" s="13">
        <f t="shared" si="5"/>
        <v>900</v>
      </c>
      <c r="H22" s="13">
        <f t="shared" si="2"/>
        <v>0</v>
      </c>
      <c r="I22" s="13">
        <f>'Таблица 3'!I54</f>
        <v>4381.7</v>
      </c>
      <c r="J22" s="13">
        <f t="shared" si="6"/>
        <v>900</v>
      </c>
      <c r="K22" s="13">
        <f t="shared" si="7"/>
        <v>0</v>
      </c>
      <c r="L22" s="26">
        <f t="shared" si="1"/>
        <v>1</v>
      </c>
      <c r="M22" s="26">
        <f t="shared" si="4"/>
        <v>1.5531334184035164</v>
      </c>
      <c r="N22" s="61">
        <f>I22/I24</f>
        <v>6.6011667178385025E-3</v>
      </c>
      <c r="O22" s="67">
        <f t="shared" si="8"/>
        <v>1560.5</v>
      </c>
      <c r="P22" s="61">
        <f t="shared" si="9"/>
        <v>0.55313341840351626</v>
      </c>
      <c r="Q22" s="80"/>
    </row>
    <row r="23" spans="1:17" ht="20.100000000000001" customHeight="1" x14ac:dyDescent="0.25">
      <c r="A23" s="11" t="s">
        <v>18</v>
      </c>
      <c r="B23" s="8" t="s">
        <v>34</v>
      </c>
      <c r="C23" s="13">
        <f>'Таблица 3'!C57</f>
        <v>105559.90000000001</v>
      </c>
      <c r="D23" s="13">
        <f>'Таблица 5'!C25</f>
        <v>101756.1</v>
      </c>
      <c r="E23" s="13">
        <f>'Таблица 5'!M25</f>
        <v>111718.10000000002</v>
      </c>
      <c r="F23" s="13">
        <f>'Таблица 3'!E57</f>
        <v>112016.90000000001</v>
      </c>
      <c r="G23" s="13">
        <f t="shared" si="5"/>
        <v>9962.0000000000146</v>
      </c>
      <c r="H23" s="13">
        <f t="shared" si="2"/>
        <v>298.79999999998836</v>
      </c>
      <c r="I23" s="13">
        <f>'Таблица 3'!I57</f>
        <v>111989.1</v>
      </c>
      <c r="J23" s="13">
        <f t="shared" si="6"/>
        <v>10233</v>
      </c>
      <c r="K23" s="13">
        <f t="shared" si="7"/>
        <v>-27.80000000000291</v>
      </c>
      <c r="L23" s="26">
        <f t="shared" si="1"/>
        <v>0.99975182316239775</v>
      </c>
      <c r="M23" s="26">
        <f t="shared" si="4"/>
        <v>1.060905703775771</v>
      </c>
      <c r="N23" s="61">
        <f>I23/I24</f>
        <v>0.16871504659850925</v>
      </c>
      <c r="O23" s="67">
        <f t="shared" si="8"/>
        <v>6429.1999999999971</v>
      </c>
      <c r="P23" s="61">
        <f t="shared" si="9"/>
        <v>6.0905703775770884E-2</v>
      </c>
      <c r="Q23" s="80"/>
    </row>
    <row r="24" spans="1:17" s="6" customFormat="1" ht="20.100000000000001" customHeight="1" x14ac:dyDescent="0.25">
      <c r="A24" s="12"/>
      <c r="B24" s="9" t="s">
        <v>19</v>
      </c>
      <c r="C24" s="10">
        <f>SUM(C13:C23)-0.1</f>
        <v>609484</v>
      </c>
      <c r="D24" s="10">
        <f>SUM(D13:D23)-0.1</f>
        <v>685730.7</v>
      </c>
      <c r="E24" s="10">
        <f>SUM(E13:E23)</f>
        <v>687864.1</v>
      </c>
      <c r="F24" s="10">
        <f>SUM(F13:F23)</f>
        <v>687864.1</v>
      </c>
      <c r="G24" s="10">
        <f>SUM(G13:G23)+0.1</f>
        <v>2133.4000000000228</v>
      </c>
      <c r="H24" s="10">
        <f>SUM(H13:H23)</f>
        <v>-1.4551915228366852E-11</v>
      </c>
      <c r="I24" s="10">
        <f>SUM(I13:I23)-0.1</f>
        <v>663776.59999999986</v>
      </c>
      <c r="J24" s="10">
        <f>SUM(J13:J23)</f>
        <v>-21954.099999999977</v>
      </c>
      <c r="K24" s="10">
        <f>SUM(K13:K23)-0.1</f>
        <v>-24087.500000000007</v>
      </c>
      <c r="L24" s="27">
        <f t="shared" si="1"/>
        <v>0.96498218180015483</v>
      </c>
      <c r="M24" s="27">
        <f t="shared" si="4"/>
        <v>1.0890796148873472</v>
      </c>
      <c r="N24" s="5"/>
      <c r="O24" s="60">
        <f>I24-C24</f>
        <v>54292.59999999986</v>
      </c>
      <c r="P24" s="69">
        <f t="shared" si="9"/>
        <v>8.90796148873471E-2</v>
      </c>
      <c r="Q24" s="81"/>
    </row>
    <row r="25" spans="1:17" s="6" customFormat="1" ht="20.100000000000001" customHeight="1" x14ac:dyDescent="0.25">
      <c r="A25" s="12"/>
      <c r="B25" s="9" t="s">
        <v>20</v>
      </c>
      <c r="C25" s="10">
        <f t="shared" ref="C25:K25" si="10">C12-C24</f>
        <v>-4083.0999999998603</v>
      </c>
      <c r="D25" s="10">
        <f t="shared" si="10"/>
        <v>-3099.9999999998836</v>
      </c>
      <c r="E25" s="10">
        <f t="shared" si="10"/>
        <v>-6520.3999999999069</v>
      </c>
      <c r="F25" s="10">
        <f t="shared" si="10"/>
        <v>-6520.3999999999069</v>
      </c>
      <c r="G25" s="10">
        <f t="shared" si="10"/>
        <v>-3420.4000000000228</v>
      </c>
      <c r="H25" s="10">
        <f t="shared" si="10"/>
        <v>1.4551915228366852E-11</v>
      </c>
      <c r="I25" s="10">
        <f t="shared" si="10"/>
        <v>-1175.9999999998836</v>
      </c>
      <c r="J25" s="10">
        <f t="shared" si="10"/>
        <v>1923.9999999998836</v>
      </c>
      <c r="K25" s="10">
        <f t="shared" si="10"/>
        <v>5344.3999999999141</v>
      </c>
      <c r="L25" s="10"/>
      <c r="M25" s="10"/>
      <c r="N25" s="5"/>
      <c r="O25" s="69"/>
      <c r="P25" s="5"/>
      <c r="Q25" s="81"/>
    </row>
    <row r="26" spans="1:17" ht="15.75" x14ac:dyDescent="0.25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61"/>
      <c r="P26" s="1"/>
    </row>
    <row r="27" spans="1:17" ht="15.75" x14ac:dyDescent="0.25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7" ht="15.75" x14ac:dyDescent="0.25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7" ht="15.75" x14ac:dyDescent="0.25">
      <c r="A29" s="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7" ht="15.75" x14ac:dyDescent="0.2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7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7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</sheetData>
  <mergeCells count="3">
    <mergeCell ref="K5:M5"/>
    <mergeCell ref="K1:M1"/>
    <mergeCell ref="A3:M3"/>
  </mergeCells>
  <pageMargins left="0.39370078740157483" right="0.39370078740157483" top="0.59055118110236227" bottom="0.59055118110236227" header="0.31496062992125984" footer="0.31496062992125984"/>
  <pageSetup paperSize="9" scale="87" orientation="landscape" r:id="rId1"/>
  <ignoredErrors>
    <ignoredError sqref="G12:K12 F24:G24 H24:J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topLeftCell="B1" workbookViewId="0">
      <selection activeCell="B1" sqref="B1"/>
    </sheetView>
  </sheetViews>
  <sheetFormatPr defaultRowHeight="15" x14ac:dyDescent="0.25"/>
  <cols>
    <col min="1" max="1" width="5.7109375" hidden="1" customWidth="1"/>
    <col min="2" max="2" width="50.7109375" customWidth="1"/>
    <col min="3" max="3" width="10.7109375" customWidth="1"/>
    <col min="4" max="4" width="10.7109375" hidden="1" customWidth="1"/>
    <col min="5" max="5" width="10.7109375" customWidth="1"/>
    <col min="6" max="6" width="11.28515625" hidden="1" customWidth="1"/>
    <col min="7" max="8" width="10.7109375" hidden="1" customWidth="1"/>
    <col min="9" max="10" width="10.7109375" customWidth="1"/>
    <col min="11" max="11" width="10.7109375" hidden="1" customWidth="1"/>
    <col min="12" max="12" width="10.7109375" customWidth="1"/>
    <col min="13" max="13" width="10.28515625" customWidth="1"/>
    <col min="14" max="14" width="8.28515625" hidden="1" customWidth="1"/>
    <col min="15" max="15" width="7.140625" hidden="1" customWidth="1"/>
    <col min="16" max="16" width="10.7109375" hidden="1" customWidth="1"/>
    <col min="17" max="18" width="9.140625" hidden="1" customWidth="1"/>
    <col min="19" max="19" width="0" hidden="1" customWidth="1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19" t="s">
        <v>42</v>
      </c>
      <c r="L1" s="119"/>
      <c r="M1" s="119"/>
      <c r="N1" s="1"/>
      <c r="O1" s="1"/>
      <c r="P1" s="1"/>
    </row>
    <row r="2" spans="1:17" ht="11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22.5" customHeight="1" x14ac:dyDescent="0.25">
      <c r="A3" s="120" t="s">
        <v>225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"/>
      <c r="O3" s="1"/>
      <c r="P3" s="1"/>
    </row>
    <row r="4" spans="1:17" ht="9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s="3" customFormat="1" ht="20.100000000000001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118" t="s">
        <v>213</v>
      </c>
      <c r="L5" s="118"/>
      <c r="M5" s="118"/>
      <c r="N5" s="2"/>
      <c r="O5" s="2"/>
      <c r="P5" s="2"/>
    </row>
    <row r="6" spans="1:17" s="17" customFormat="1" ht="69.95" customHeight="1" x14ac:dyDescent="0.2">
      <c r="A6" s="25" t="s">
        <v>5</v>
      </c>
      <c r="B6" s="25" t="s">
        <v>52</v>
      </c>
      <c r="C6" s="25" t="s">
        <v>216</v>
      </c>
      <c r="D6" s="25" t="s">
        <v>37</v>
      </c>
      <c r="E6" s="89" t="s">
        <v>238</v>
      </c>
      <c r="F6" s="25" t="s">
        <v>40</v>
      </c>
      <c r="G6" s="18" t="s">
        <v>38</v>
      </c>
      <c r="H6" s="18" t="s">
        <v>39</v>
      </c>
      <c r="I6" s="25" t="s">
        <v>227</v>
      </c>
      <c r="J6" s="18" t="s">
        <v>187</v>
      </c>
      <c r="K6" s="18" t="s">
        <v>41</v>
      </c>
      <c r="L6" s="18" t="s">
        <v>228</v>
      </c>
      <c r="M6" s="18" t="s">
        <v>246</v>
      </c>
      <c r="N6" s="16"/>
      <c r="O6" s="16"/>
      <c r="P6" s="16"/>
    </row>
    <row r="7" spans="1:17" s="17" customFormat="1" ht="15" customHeight="1" x14ac:dyDescent="0.2">
      <c r="A7" s="25">
        <v>1</v>
      </c>
      <c r="B7" s="25">
        <v>1</v>
      </c>
      <c r="C7" s="25">
        <v>2</v>
      </c>
      <c r="D7" s="25">
        <v>3</v>
      </c>
      <c r="E7" s="25">
        <v>3</v>
      </c>
      <c r="F7" s="18">
        <v>6</v>
      </c>
      <c r="G7" s="18">
        <v>7</v>
      </c>
      <c r="H7" s="18">
        <v>7</v>
      </c>
      <c r="I7" s="18">
        <v>4</v>
      </c>
      <c r="J7" s="18">
        <v>5</v>
      </c>
      <c r="K7" s="18">
        <v>8</v>
      </c>
      <c r="L7" s="18">
        <v>6</v>
      </c>
      <c r="M7" s="18">
        <v>7</v>
      </c>
      <c r="N7" s="16"/>
      <c r="O7" s="16"/>
      <c r="P7" s="16"/>
    </row>
    <row r="8" spans="1:17" s="6" customFormat="1" ht="20.100000000000001" customHeight="1" x14ac:dyDescent="0.25">
      <c r="A8" s="9"/>
      <c r="B8" s="57" t="s">
        <v>43</v>
      </c>
      <c r="C8" s="10">
        <f>C9+C28</f>
        <v>605400.90000000014</v>
      </c>
      <c r="D8" s="10">
        <f>D9+D28</f>
        <v>500612.4</v>
      </c>
      <c r="E8" s="10">
        <f>E9+E28</f>
        <v>681343.70000000007</v>
      </c>
      <c r="F8" s="10"/>
      <c r="G8" s="24"/>
      <c r="H8" s="24"/>
      <c r="I8" s="10">
        <f>I9+I28</f>
        <v>662600.6</v>
      </c>
      <c r="J8" s="24">
        <f>I8-E8</f>
        <v>-18743.100000000093</v>
      </c>
      <c r="K8" s="24"/>
      <c r="L8" s="27">
        <f>I8/E8</f>
        <v>0.97249097628700454</v>
      </c>
      <c r="M8" s="27">
        <f>I8/C8</f>
        <v>1.094482350455706</v>
      </c>
      <c r="N8" s="5"/>
      <c r="O8" s="5"/>
      <c r="P8" s="65">
        <f>I8-C8</f>
        <v>57199.699999999837</v>
      </c>
    </row>
    <row r="9" spans="1:17" s="38" customFormat="1" ht="20.100000000000001" customHeight="1" x14ac:dyDescent="0.25">
      <c r="A9" s="34"/>
      <c r="B9" s="34" t="s">
        <v>46</v>
      </c>
      <c r="C9" s="35">
        <f>C10+C16</f>
        <v>53629.3</v>
      </c>
      <c r="D9" s="35">
        <f>D10+D16</f>
        <v>50559</v>
      </c>
      <c r="E9" s="35">
        <f>E10+E16</f>
        <v>59613.299999999996</v>
      </c>
      <c r="F9" s="35"/>
      <c r="G9" s="35"/>
      <c r="H9" s="35"/>
      <c r="I9" s="35">
        <f>I10+I16+0.1</f>
        <v>59824.799999999996</v>
      </c>
      <c r="J9" s="35">
        <f t="shared" ref="J9:J62" si="0">I9-E9</f>
        <v>211.5</v>
      </c>
      <c r="K9" s="35"/>
      <c r="L9" s="36">
        <f>I9/E9</f>
        <v>1.0035478659963464</v>
      </c>
      <c r="M9" s="36">
        <f>I9/C9</f>
        <v>1.11552453602788</v>
      </c>
      <c r="N9" s="37"/>
      <c r="O9" s="37"/>
      <c r="P9" s="83">
        <f>I9/I8</f>
        <v>9.0287874777052718E-2</v>
      </c>
      <c r="Q9" s="84">
        <f>C9/C8</f>
        <v>8.8584770851843783E-2</v>
      </c>
    </row>
    <row r="10" spans="1:17" s="6" customFormat="1" ht="15" customHeight="1" x14ac:dyDescent="0.25">
      <c r="A10" s="39"/>
      <c r="B10" s="39" t="s">
        <v>47</v>
      </c>
      <c r="C10" s="40">
        <f>C11+C13+C14+C15</f>
        <v>41133.5</v>
      </c>
      <c r="D10" s="40">
        <f>D11+D13+D14</f>
        <v>38399.1</v>
      </c>
      <c r="E10" s="40">
        <f>E11+E12+E13+E14+E15</f>
        <v>46390.799999999996</v>
      </c>
      <c r="F10" s="40"/>
      <c r="G10" s="40"/>
      <c r="H10" s="40"/>
      <c r="I10" s="40">
        <f>I11+I12+I13+I14+I15</f>
        <v>46318.2</v>
      </c>
      <c r="J10" s="40">
        <f t="shared" si="0"/>
        <v>-72.599999999998545</v>
      </c>
      <c r="K10" s="50"/>
      <c r="L10" s="51">
        <f>I10/E10</f>
        <v>0.9984350345327091</v>
      </c>
      <c r="M10" s="51">
        <f>I10/C10</f>
        <v>1.1260456805280368</v>
      </c>
      <c r="N10" s="41"/>
      <c r="O10" s="82">
        <f>I10/I8</f>
        <v>6.9903649347736782E-2</v>
      </c>
      <c r="P10" s="65">
        <f>I10-C10</f>
        <v>5184.6999999999971</v>
      </c>
      <c r="Q10" s="81">
        <f>P10/C10</f>
        <v>0.12604568052803669</v>
      </c>
    </row>
    <row r="11" spans="1:17" s="33" customFormat="1" ht="15" customHeight="1" x14ac:dyDescent="0.25">
      <c r="A11" s="30"/>
      <c r="B11" s="30" t="s">
        <v>48</v>
      </c>
      <c r="C11" s="22">
        <f>'[1]Таблица 2'!$I$11</f>
        <v>33468.199999999997</v>
      </c>
      <c r="D11" s="22">
        <v>31019.1</v>
      </c>
      <c r="E11" s="22">
        <v>34910</v>
      </c>
      <c r="F11" s="22"/>
      <c r="G11" s="22"/>
      <c r="H11" s="22"/>
      <c r="I11" s="48">
        <v>35704.9</v>
      </c>
      <c r="J11" s="22">
        <f t="shared" si="0"/>
        <v>794.90000000000146</v>
      </c>
      <c r="K11" s="22"/>
      <c r="L11" s="31">
        <f t="shared" ref="L11:L14" si="1">I11/E11</f>
        <v>1.0227699799484389</v>
      </c>
      <c r="M11" s="31">
        <f t="shared" ref="M11:M14" si="2">I11/C11</f>
        <v>1.0668306033787298</v>
      </c>
      <c r="N11" s="62"/>
      <c r="O11" s="62">
        <f>I11/I10</f>
        <v>0.77086113018208835</v>
      </c>
      <c r="P11" s="64"/>
      <c r="Q11" s="80">
        <f>I11/I8</f>
        <v>5.3886006140048778E-2</v>
      </c>
    </row>
    <row r="12" spans="1:17" s="33" customFormat="1" ht="15" customHeight="1" x14ac:dyDescent="0.25">
      <c r="A12" s="30"/>
      <c r="B12" s="30" t="s">
        <v>230</v>
      </c>
      <c r="C12" s="22"/>
      <c r="D12" s="22"/>
      <c r="E12" s="22">
        <v>4279.7</v>
      </c>
      <c r="F12" s="22"/>
      <c r="G12" s="22"/>
      <c r="H12" s="22"/>
      <c r="I12" s="22">
        <v>3412.2</v>
      </c>
      <c r="J12" s="22">
        <f t="shared" si="0"/>
        <v>-867.5</v>
      </c>
      <c r="K12" s="22"/>
      <c r="L12" s="31">
        <f t="shared" si="1"/>
        <v>0.7972988760894455</v>
      </c>
      <c r="M12" s="31"/>
      <c r="N12" s="62"/>
      <c r="O12" s="62"/>
      <c r="P12" s="32"/>
    </row>
    <row r="13" spans="1:17" s="33" customFormat="1" ht="15" customHeight="1" x14ac:dyDescent="0.25">
      <c r="A13" s="30"/>
      <c r="B13" s="30" t="s">
        <v>49</v>
      </c>
      <c r="C13" s="22">
        <f>'[1]Таблица 2'!$I$12</f>
        <v>6676</v>
      </c>
      <c r="D13" s="22">
        <v>6766.5</v>
      </c>
      <c r="E13" s="22">
        <v>6426.7</v>
      </c>
      <c r="F13" s="22"/>
      <c r="G13" s="22"/>
      <c r="H13" s="22"/>
      <c r="I13" s="22">
        <v>6426.7</v>
      </c>
      <c r="J13" s="22">
        <f t="shared" si="0"/>
        <v>0</v>
      </c>
      <c r="K13" s="22"/>
      <c r="L13" s="31">
        <f t="shared" si="1"/>
        <v>1</v>
      </c>
      <c r="M13" s="31">
        <f t="shared" si="2"/>
        <v>0.96265727980826843</v>
      </c>
      <c r="N13" s="62"/>
      <c r="O13" s="62">
        <f>I13/I10</f>
        <v>0.13875107409182569</v>
      </c>
      <c r="P13" s="32"/>
    </row>
    <row r="14" spans="1:17" s="33" customFormat="1" ht="15" customHeight="1" x14ac:dyDescent="0.25">
      <c r="A14" s="30"/>
      <c r="B14" s="30" t="s">
        <v>50</v>
      </c>
      <c r="C14" s="22">
        <f>'[1]Таблица 2'!$I$13</f>
        <v>989.3</v>
      </c>
      <c r="D14" s="22">
        <v>613.5</v>
      </c>
      <c r="E14" s="22">
        <v>774.4</v>
      </c>
      <c r="F14" s="22"/>
      <c r="G14" s="22"/>
      <c r="H14" s="22"/>
      <c r="I14" s="22">
        <v>774.4</v>
      </c>
      <c r="J14" s="22">
        <f t="shared" si="0"/>
        <v>0</v>
      </c>
      <c r="K14" s="22"/>
      <c r="L14" s="31">
        <f t="shared" si="1"/>
        <v>1</v>
      </c>
      <c r="M14" s="31">
        <f t="shared" si="2"/>
        <v>0.78277569998989183</v>
      </c>
      <c r="N14" s="32"/>
      <c r="O14" s="32"/>
      <c r="P14" s="32"/>
    </row>
    <row r="15" spans="1:17" s="33" customFormat="1" ht="15" hidden="1" customHeight="1" x14ac:dyDescent="0.25">
      <c r="A15" s="30"/>
      <c r="B15" s="30" t="s">
        <v>84</v>
      </c>
      <c r="C15" s="22"/>
      <c r="D15" s="22"/>
      <c r="E15" s="22"/>
      <c r="F15" s="22"/>
      <c r="G15" s="22"/>
      <c r="H15" s="22"/>
      <c r="I15" s="22"/>
      <c r="J15" s="22"/>
      <c r="K15" s="22"/>
      <c r="L15" s="31"/>
      <c r="M15" s="31"/>
      <c r="N15" s="32"/>
      <c r="O15" s="32"/>
      <c r="P15" s="32"/>
    </row>
    <row r="16" spans="1:17" s="6" customFormat="1" ht="15" customHeight="1" x14ac:dyDescent="0.25">
      <c r="A16" s="39"/>
      <c r="B16" s="39" t="s">
        <v>59</v>
      </c>
      <c r="C16" s="40">
        <f>C17+C21+C22+C25+C26+C27</f>
        <v>12495.800000000003</v>
      </c>
      <c r="D16" s="40">
        <f>D17+D21+D22+D25+D26+D27</f>
        <v>12159.9</v>
      </c>
      <c r="E16" s="40">
        <f>E17+E21+E22+E25+E26+E27</f>
        <v>13222.5</v>
      </c>
      <c r="F16" s="40"/>
      <c r="G16" s="40"/>
      <c r="H16" s="40"/>
      <c r="I16" s="40">
        <f>I17+I21+I22+I25+I26+I27</f>
        <v>13506.499999999998</v>
      </c>
      <c r="J16" s="40">
        <f t="shared" si="0"/>
        <v>283.99999999999818</v>
      </c>
      <c r="K16" s="50"/>
      <c r="L16" s="51">
        <f>I16/E16</f>
        <v>1.021478540366799</v>
      </c>
      <c r="M16" s="51">
        <f>I16/C16</f>
        <v>1.0808831767473868</v>
      </c>
      <c r="N16" s="41"/>
      <c r="O16" s="82">
        <f>I16/I8</f>
        <v>2.0384074508836846E-2</v>
      </c>
      <c r="P16" s="65">
        <f>I16-C16</f>
        <v>1010.6999999999953</v>
      </c>
    </row>
    <row r="17" spans="1:17" s="46" customFormat="1" ht="30" customHeight="1" x14ac:dyDescent="0.25">
      <c r="A17" s="42"/>
      <c r="B17" s="42" t="s">
        <v>51</v>
      </c>
      <c r="C17" s="43">
        <f>C18+C19+C20</f>
        <v>2839</v>
      </c>
      <c r="D17" s="43">
        <f>D18+D19</f>
        <v>1882.5</v>
      </c>
      <c r="E17" s="43">
        <f>E18+E19+E20</f>
        <v>2770.5</v>
      </c>
      <c r="F17" s="43"/>
      <c r="G17" s="43"/>
      <c r="H17" s="43"/>
      <c r="I17" s="43">
        <f>I18+I19+I20</f>
        <v>2990.8999999999996</v>
      </c>
      <c r="J17" s="43">
        <f t="shared" si="0"/>
        <v>220.39999999999964</v>
      </c>
      <c r="K17" s="43"/>
      <c r="L17" s="44">
        <f t="shared" ref="L17:L20" si="3">I17/E17</f>
        <v>1.0795524273596822</v>
      </c>
      <c r="M17" s="44">
        <f t="shared" ref="M17:M20" si="4">I17/C17</f>
        <v>1.0535047551954912</v>
      </c>
      <c r="N17" s="45"/>
      <c r="O17" s="45"/>
      <c r="P17" s="45"/>
    </row>
    <row r="18" spans="1:17" s="33" customFormat="1" ht="90" customHeight="1" x14ac:dyDescent="0.25">
      <c r="A18" s="30"/>
      <c r="B18" s="30" t="s">
        <v>53</v>
      </c>
      <c r="C18" s="22">
        <f>'[1]Таблица 2'!$I$17</f>
        <v>826</v>
      </c>
      <c r="D18" s="22">
        <v>1090</v>
      </c>
      <c r="E18" s="22">
        <v>1089</v>
      </c>
      <c r="F18" s="22"/>
      <c r="G18" s="22"/>
      <c r="H18" s="22"/>
      <c r="I18" s="22">
        <v>1309.4000000000001</v>
      </c>
      <c r="J18" s="22">
        <f t="shared" si="0"/>
        <v>220.40000000000009</v>
      </c>
      <c r="K18" s="22"/>
      <c r="L18" s="31">
        <f t="shared" si="3"/>
        <v>1.2023875114784206</v>
      </c>
      <c r="M18" s="31">
        <f t="shared" si="4"/>
        <v>1.5852300242130752</v>
      </c>
      <c r="N18" s="32"/>
      <c r="O18" s="32"/>
      <c r="P18" s="32"/>
    </row>
    <row r="19" spans="1:17" s="33" customFormat="1" ht="75" customHeight="1" x14ac:dyDescent="0.25">
      <c r="A19" s="30"/>
      <c r="B19" s="30" t="s">
        <v>186</v>
      </c>
      <c r="C19" s="22">
        <f>'[1]Таблица 2'!$I$18</f>
        <v>1917.1</v>
      </c>
      <c r="D19" s="22">
        <v>792.5</v>
      </c>
      <c r="E19" s="48">
        <v>1631.3</v>
      </c>
      <c r="F19" s="22"/>
      <c r="G19" s="22"/>
      <c r="H19" s="22"/>
      <c r="I19" s="22">
        <v>1631.3</v>
      </c>
      <c r="J19" s="22">
        <f t="shared" si="0"/>
        <v>0</v>
      </c>
      <c r="K19" s="22"/>
      <c r="L19" s="31">
        <f t="shared" si="3"/>
        <v>1</v>
      </c>
      <c r="M19" s="31">
        <f t="shared" si="4"/>
        <v>0.8509206614156799</v>
      </c>
      <c r="N19" s="32"/>
      <c r="O19" s="32"/>
      <c r="P19" s="32"/>
    </row>
    <row r="20" spans="1:17" s="33" customFormat="1" ht="15" customHeight="1" x14ac:dyDescent="0.25">
      <c r="A20" s="30"/>
      <c r="B20" s="30" t="s">
        <v>84</v>
      </c>
      <c r="C20" s="22">
        <f>'[1]Таблица 2'!$I$19</f>
        <v>95.9</v>
      </c>
      <c r="D20" s="22"/>
      <c r="E20" s="22">
        <v>50.2</v>
      </c>
      <c r="F20" s="22"/>
      <c r="G20" s="22"/>
      <c r="H20" s="22"/>
      <c r="I20" s="22">
        <v>50.2</v>
      </c>
      <c r="J20" s="22">
        <f t="shared" si="0"/>
        <v>0</v>
      </c>
      <c r="K20" s="22"/>
      <c r="L20" s="31">
        <f t="shared" si="3"/>
        <v>1</v>
      </c>
      <c r="M20" s="31">
        <f t="shared" si="4"/>
        <v>0.52346193952033371</v>
      </c>
      <c r="N20" s="32"/>
      <c r="O20" s="32"/>
      <c r="P20" s="32"/>
    </row>
    <row r="21" spans="1:17" s="46" customFormat="1" ht="15" customHeight="1" x14ac:dyDescent="0.25">
      <c r="A21" s="42"/>
      <c r="B21" s="42" t="s">
        <v>54</v>
      </c>
      <c r="C21" s="43">
        <f>'[1]Таблица 2'!$I$20</f>
        <v>375.2</v>
      </c>
      <c r="D21" s="43">
        <v>358</v>
      </c>
      <c r="E21" s="43">
        <v>410.4</v>
      </c>
      <c r="F21" s="43"/>
      <c r="G21" s="43"/>
      <c r="H21" s="43"/>
      <c r="I21" s="43">
        <v>410.4</v>
      </c>
      <c r="J21" s="43">
        <f t="shared" si="0"/>
        <v>0</v>
      </c>
      <c r="K21" s="43"/>
      <c r="L21" s="44">
        <f t="shared" ref="L21:L26" si="5">I21/E21</f>
        <v>1</v>
      </c>
      <c r="M21" s="44">
        <f t="shared" ref="M21:M26" si="6">I21/C21</f>
        <v>1.0938166311300639</v>
      </c>
      <c r="N21" s="45"/>
      <c r="O21" s="45"/>
      <c r="P21" s="45"/>
    </row>
    <row r="22" spans="1:17" s="46" customFormat="1" ht="30" customHeight="1" x14ac:dyDescent="0.25">
      <c r="A22" s="42"/>
      <c r="B22" s="42" t="s">
        <v>55</v>
      </c>
      <c r="C22" s="43">
        <f>C23+C24</f>
        <v>6682.7000000000007</v>
      </c>
      <c r="D22" s="43">
        <v>9289.4</v>
      </c>
      <c r="E22" s="43">
        <f>E23+E24</f>
        <v>8050.4</v>
      </c>
      <c r="F22" s="43"/>
      <c r="G22" s="43"/>
      <c r="H22" s="43"/>
      <c r="I22" s="43">
        <f>I23+I24</f>
        <v>8200.7999999999993</v>
      </c>
      <c r="J22" s="43">
        <f t="shared" si="0"/>
        <v>150.39999999999964</v>
      </c>
      <c r="K22" s="43"/>
      <c r="L22" s="44">
        <f t="shared" si="5"/>
        <v>1.0186823015005466</v>
      </c>
      <c r="M22" s="44">
        <f t="shared" si="6"/>
        <v>1.2271686593742048</v>
      </c>
      <c r="N22" s="45"/>
      <c r="O22" s="45"/>
      <c r="P22" s="45"/>
    </row>
    <row r="23" spans="1:17" s="33" customFormat="1" x14ac:dyDescent="0.25">
      <c r="A23" s="30"/>
      <c r="B23" s="30" t="s">
        <v>231</v>
      </c>
      <c r="C23" s="22">
        <v>6011.6</v>
      </c>
      <c r="D23" s="22"/>
      <c r="E23" s="22">
        <v>6898.3</v>
      </c>
      <c r="F23" s="22"/>
      <c r="G23" s="22"/>
      <c r="H23" s="22"/>
      <c r="I23" s="22">
        <v>7048.7</v>
      </c>
      <c r="J23" s="22">
        <f t="shared" ref="J23:J24" si="7">I23-E23</f>
        <v>150.39999999999964</v>
      </c>
      <c r="K23" s="22"/>
      <c r="L23" s="31">
        <f t="shared" si="5"/>
        <v>1.0218024730730759</v>
      </c>
      <c r="M23" s="31">
        <f t="shared" si="6"/>
        <v>1.1725164681615543</v>
      </c>
      <c r="N23" s="32"/>
      <c r="O23" s="32"/>
      <c r="P23" s="32"/>
    </row>
    <row r="24" spans="1:17" s="33" customFormat="1" x14ac:dyDescent="0.25">
      <c r="A24" s="30"/>
      <c r="B24" s="30" t="s">
        <v>232</v>
      </c>
      <c r="C24" s="22">
        <v>671.1</v>
      </c>
      <c r="D24" s="22"/>
      <c r="E24" s="22">
        <v>1152.0999999999999</v>
      </c>
      <c r="F24" s="22"/>
      <c r="G24" s="22"/>
      <c r="H24" s="22"/>
      <c r="I24" s="22">
        <v>1152.0999999999999</v>
      </c>
      <c r="J24" s="43">
        <f t="shared" si="7"/>
        <v>0</v>
      </c>
      <c r="K24" s="43"/>
      <c r="L24" s="31">
        <f t="shared" ref="L24" si="8">I24/E24</f>
        <v>1</v>
      </c>
      <c r="M24" s="31">
        <f t="shared" ref="M24" si="9">I24/C24</f>
        <v>1.716733720756966</v>
      </c>
      <c r="N24" s="32"/>
      <c r="O24" s="32"/>
      <c r="P24" s="32"/>
    </row>
    <row r="25" spans="1:17" s="46" customFormat="1" ht="30" customHeight="1" x14ac:dyDescent="0.25">
      <c r="A25" s="42"/>
      <c r="B25" s="42" t="s">
        <v>56</v>
      </c>
      <c r="C25" s="43">
        <f>'[1]Таблица 2'!$I$22</f>
        <v>88.7</v>
      </c>
      <c r="D25" s="43"/>
      <c r="E25" s="77">
        <v>70.5</v>
      </c>
      <c r="F25" s="43"/>
      <c r="G25" s="43"/>
      <c r="H25" s="43"/>
      <c r="I25" s="43">
        <v>70.5</v>
      </c>
      <c r="J25" s="43">
        <f t="shared" si="0"/>
        <v>0</v>
      </c>
      <c r="K25" s="43"/>
      <c r="L25" s="44">
        <f t="shared" si="5"/>
        <v>1</v>
      </c>
      <c r="M25" s="44">
        <f t="shared" si="6"/>
        <v>0.79481397970687706</v>
      </c>
      <c r="N25" s="45"/>
      <c r="O25" s="45"/>
      <c r="P25" s="45"/>
    </row>
    <row r="26" spans="1:17" s="46" customFormat="1" ht="15" customHeight="1" x14ac:dyDescent="0.25">
      <c r="A26" s="49" t="s">
        <v>8</v>
      </c>
      <c r="B26" s="42" t="s">
        <v>57</v>
      </c>
      <c r="C26" s="43">
        <f>'[1]Таблица 2'!$I$23</f>
        <v>2518.6999999999998</v>
      </c>
      <c r="D26" s="43">
        <v>630</v>
      </c>
      <c r="E26" s="90">
        <v>1920.7</v>
      </c>
      <c r="F26" s="43"/>
      <c r="G26" s="43"/>
      <c r="H26" s="43"/>
      <c r="I26" s="43">
        <v>1861</v>
      </c>
      <c r="J26" s="43">
        <f t="shared" si="0"/>
        <v>-59.700000000000045</v>
      </c>
      <c r="K26" s="43"/>
      <c r="L26" s="44">
        <f t="shared" si="5"/>
        <v>0.96891758213151458</v>
      </c>
      <c r="M26" s="44">
        <f t="shared" si="6"/>
        <v>0.7388732282526701</v>
      </c>
      <c r="N26" s="45"/>
      <c r="O26" s="45"/>
      <c r="P26" s="45"/>
    </row>
    <row r="27" spans="1:17" s="46" customFormat="1" ht="15" customHeight="1" x14ac:dyDescent="0.25">
      <c r="A27" s="49" t="s">
        <v>8</v>
      </c>
      <c r="B27" s="42" t="s">
        <v>58</v>
      </c>
      <c r="C27" s="43">
        <f>'[1]Таблица 2'!$I$24</f>
        <v>-8.5</v>
      </c>
      <c r="D27" s="43"/>
      <c r="E27" s="43"/>
      <c r="F27" s="43"/>
      <c r="G27" s="43"/>
      <c r="H27" s="43"/>
      <c r="I27" s="43">
        <v>-27.1</v>
      </c>
      <c r="J27" s="43">
        <f t="shared" si="0"/>
        <v>-27.1</v>
      </c>
      <c r="K27" s="43"/>
      <c r="L27" s="44"/>
      <c r="M27" s="44"/>
      <c r="N27" s="45"/>
      <c r="O27" s="45"/>
      <c r="P27" s="45"/>
    </row>
    <row r="28" spans="1:17" s="38" customFormat="1" ht="20.100000000000001" customHeight="1" x14ac:dyDescent="0.25">
      <c r="A28" s="34"/>
      <c r="B28" s="34" t="s">
        <v>60</v>
      </c>
      <c r="C28" s="35">
        <f>C29+C32+C46+C57+C63+C64+C66+0.1</f>
        <v>551771.60000000009</v>
      </c>
      <c r="D28" s="35">
        <v>450053.4</v>
      </c>
      <c r="E28" s="35">
        <f>E29+E32+E46+E57+E63+E64+E66</f>
        <v>621730.4</v>
      </c>
      <c r="F28" s="35">
        <f>F29+F32+F46+F57+F63+F64+F66</f>
        <v>0</v>
      </c>
      <c r="G28" s="35">
        <f>G29+G32+G46+G57+G63+G64+G66</f>
        <v>0</v>
      </c>
      <c r="H28" s="35">
        <f>H29+H32+H46+H57+H63+H64+H66</f>
        <v>0</v>
      </c>
      <c r="I28" s="35">
        <f>I29+I32+I46+I57+I65+I64+I66</f>
        <v>602775.79999999993</v>
      </c>
      <c r="J28" s="35">
        <f t="shared" si="0"/>
        <v>-18954.600000000093</v>
      </c>
      <c r="K28" s="35"/>
      <c r="L28" s="36">
        <f>I28/E28</f>
        <v>0.96951315232454438</v>
      </c>
      <c r="M28" s="36">
        <f>I28/C28</f>
        <v>1.0924371605932597</v>
      </c>
      <c r="N28" s="37"/>
      <c r="O28" s="83">
        <f>I28/I8</f>
        <v>0.9097121252229472</v>
      </c>
      <c r="P28" s="66">
        <f>I28-C28</f>
        <v>51004.199999999837</v>
      </c>
      <c r="Q28" s="84">
        <f>P28/C28</f>
        <v>9.2437160593259654E-2</v>
      </c>
    </row>
    <row r="29" spans="1:17" s="46" customFormat="1" ht="15" customHeight="1" x14ac:dyDescent="0.25">
      <c r="A29" s="42"/>
      <c r="B29" s="42" t="s">
        <v>61</v>
      </c>
      <c r="C29" s="43">
        <f>C30+C31</f>
        <v>79044.399999999994</v>
      </c>
      <c r="D29" s="43">
        <f>D30+D31</f>
        <v>0</v>
      </c>
      <c r="E29" s="43">
        <f>E30+E31</f>
        <v>73491.899999999994</v>
      </c>
      <c r="F29" s="43"/>
      <c r="G29" s="43"/>
      <c r="H29" s="43"/>
      <c r="I29" s="43">
        <f>I30+I31</f>
        <v>73491.899999999994</v>
      </c>
      <c r="J29" s="43">
        <f t="shared" si="0"/>
        <v>0</v>
      </c>
      <c r="K29" s="43"/>
      <c r="L29" s="44">
        <f t="shared" ref="L29:L30" si="10">I29/E29</f>
        <v>1</v>
      </c>
      <c r="M29" s="44">
        <f t="shared" ref="M29:M30" si="11">I29/C29</f>
        <v>0.92975466952750607</v>
      </c>
      <c r="N29" s="45"/>
      <c r="O29" s="45"/>
      <c r="P29" s="66">
        <f>I29-C29</f>
        <v>-5552.5</v>
      </c>
      <c r="Q29" s="84">
        <f>P29/C29</f>
        <v>-7.0245330472493941E-2</v>
      </c>
    </row>
    <row r="30" spans="1:17" s="33" customFormat="1" ht="30" customHeight="1" x14ac:dyDescent="0.25">
      <c r="A30" s="47" t="s">
        <v>12</v>
      </c>
      <c r="B30" s="30" t="s">
        <v>62</v>
      </c>
      <c r="C30" s="22">
        <f>'[1]Таблица 2'!$I$27</f>
        <v>79044.399999999994</v>
      </c>
      <c r="D30" s="22"/>
      <c r="E30" s="22">
        <v>73491.899999999994</v>
      </c>
      <c r="F30" s="22"/>
      <c r="G30" s="22"/>
      <c r="H30" s="22"/>
      <c r="I30" s="22">
        <f>E30</f>
        <v>73491.899999999994</v>
      </c>
      <c r="J30" s="22">
        <f t="shared" si="0"/>
        <v>0</v>
      </c>
      <c r="K30" s="22"/>
      <c r="L30" s="31">
        <f t="shared" si="10"/>
        <v>1</v>
      </c>
      <c r="M30" s="31">
        <f t="shared" si="11"/>
        <v>0.92975466952750607</v>
      </c>
      <c r="N30" s="32"/>
      <c r="O30" s="32"/>
      <c r="P30" s="32"/>
    </row>
    <row r="31" spans="1:17" s="33" customFormat="1" ht="30" hidden="1" customHeight="1" x14ac:dyDescent="0.25">
      <c r="A31" s="47" t="s">
        <v>12</v>
      </c>
      <c r="B31" s="30" t="s">
        <v>63</v>
      </c>
      <c r="C31" s="22"/>
      <c r="D31" s="22"/>
      <c r="E31" s="22"/>
      <c r="F31" s="22"/>
      <c r="G31" s="22"/>
      <c r="H31" s="22"/>
      <c r="I31" s="22"/>
      <c r="J31" s="22">
        <f t="shared" si="0"/>
        <v>0</v>
      </c>
      <c r="K31" s="22"/>
      <c r="L31" s="31"/>
      <c r="M31" s="31"/>
      <c r="N31" s="32"/>
      <c r="O31" s="32"/>
      <c r="P31" s="32"/>
    </row>
    <row r="32" spans="1:17" s="46" customFormat="1" ht="15" customHeight="1" x14ac:dyDescent="0.25">
      <c r="A32" s="42"/>
      <c r="B32" s="42" t="s">
        <v>64</v>
      </c>
      <c r="C32" s="43">
        <f>SUM(C33:C43)</f>
        <v>188410.2</v>
      </c>
      <c r="D32" s="43">
        <f>D33+D34+D37+D42+D43</f>
        <v>0</v>
      </c>
      <c r="E32" s="43">
        <f>SUM(E33:E43)</f>
        <v>251968</v>
      </c>
      <c r="F32" s="43"/>
      <c r="G32" s="43"/>
      <c r="H32" s="43"/>
      <c r="I32" s="43">
        <f>SUM(I33:I43)</f>
        <v>238734.2</v>
      </c>
      <c r="J32" s="43">
        <f t="shared" si="0"/>
        <v>-13233.799999999988</v>
      </c>
      <c r="K32" s="43"/>
      <c r="L32" s="44">
        <f t="shared" ref="L32:L43" si="12">I32/E32</f>
        <v>0.94747825120650242</v>
      </c>
      <c r="M32" s="44">
        <f t="shared" ref="M32:M43" si="13">I32/C32</f>
        <v>1.2670980658159696</v>
      </c>
      <c r="N32" s="45"/>
      <c r="O32" s="45"/>
      <c r="P32" s="66">
        <f>I32-C32</f>
        <v>50324</v>
      </c>
      <c r="Q32" s="84">
        <f>P32/C32</f>
        <v>0.26709806581596962</v>
      </c>
    </row>
    <row r="33" spans="1:17" s="33" customFormat="1" ht="30" hidden="1" customHeight="1" x14ac:dyDescent="0.25">
      <c r="A33" s="47" t="s">
        <v>15</v>
      </c>
      <c r="B33" s="30" t="s">
        <v>65</v>
      </c>
      <c r="C33" s="22"/>
      <c r="D33" s="22"/>
      <c r="E33" s="22"/>
      <c r="F33" s="22"/>
      <c r="G33" s="22"/>
      <c r="H33" s="22"/>
      <c r="I33" s="22"/>
      <c r="J33" s="22">
        <f t="shared" si="0"/>
        <v>0</v>
      </c>
      <c r="K33" s="22"/>
      <c r="L33" s="31"/>
      <c r="M33" s="31"/>
      <c r="N33" s="32"/>
      <c r="O33" s="32"/>
      <c r="P33" s="32"/>
    </row>
    <row r="34" spans="1:17" s="33" customFormat="1" ht="45" customHeight="1" x14ac:dyDescent="0.25">
      <c r="A34" s="47" t="s">
        <v>15</v>
      </c>
      <c r="B34" s="30" t="s">
        <v>66</v>
      </c>
      <c r="C34" s="22">
        <f>'[1]Таблица 2'!$I$31</f>
        <v>451.9</v>
      </c>
      <c r="D34" s="22"/>
      <c r="E34" s="22">
        <v>534.29999999999995</v>
      </c>
      <c r="F34" s="22"/>
      <c r="G34" s="22"/>
      <c r="H34" s="22"/>
      <c r="I34" s="22">
        <f>E34</f>
        <v>534.29999999999995</v>
      </c>
      <c r="J34" s="22">
        <f t="shared" si="0"/>
        <v>0</v>
      </c>
      <c r="K34" s="22"/>
      <c r="L34" s="31">
        <f t="shared" si="12"/>
        <v>1</v>
      </c>
      <c r="M34" s="31">
        <f t="shared" si="13"/>
        <v>1.1823412259349413</v>
      </c>
      <c r="N34" s="32"/>
      <c r="O34" s="32"/>
      <c r="P34" s="32"/>
    </row>
    <row r="35" spans="1:17" s="33" customFormat="1" ht="45" x14ac:dyDescent="0.25">
      <c r="A35" s="47"/>
      <c r="B35" s="30" t="s">
        <v>235</v>
      </c>
      <c r="C35" s="22">
        <f>'[1]Таблица 2'!$I$32</f>
        <v>9722.6</v>
      </c>
      <c r="D35" s="22"/>
      <c r="E35" s="22">
        <v>39240.800000000003</v>
      </c>
      <c r="F35" s="22"/>
      <c r="G35" s="22"/>
      <c r="H35" s="22"/>
      <c r="I35" s="22">
        <v>35636.9</v>
      </c>
      <c r="J35" s="22">
        <f t="shared" ref="J35" si="14">I35-E35</f>
        <v>-3603.9000000000015</v>
      </c>
      <c r="K35" s="22"/>
      <c r="L35" s="31">
        <f t="shared" ref="L35" si="15">I35/E35</f>
        <v>0.90815936474281866</v>
      </c>
      <c r="M35" s="31">
        <f t="shared" ref="M35" si="16">I35/C35</f>
        <v>3.6653672885853577</v>
      </c>
      <c r="N35" s="32"/>
      <c r="O35" s="32"/>
      <c r="P35" s="32"/>
    </row>
    <row r="36" spans="1:17" s="33" customFormat="1" ht="30" hidden="1" customHeight="1" x14ac:dyDescent="0.25">
      <c r="A36" s="47"/>
      <c r="B36" s="30" t="s">
        <v>188</v>
      </c>
      <c r="C36" s="22"/>
      <c r="D36" s="22"/>
      <c r="E36" s="22"/>
      <c r="F36" s="22"/>
      <c r="G36" s="22"/>
      <c r="H36" s="22"/>
      <c r="I36" s="22"/>
      <c r="J36" s="22"/>
      <c r="K36" s="22"/>
      <c r="L36" s="31"/>
      <c r="M36" s="31"/>
      <c r="N36" s="32"/>
      <c r="O36" s="32"/>
      <c r="P36" s="32"/>
    </row>
    <row r="37" spans="1:17" s="33" customFormat="1" ht="30" customHeight="1" x14ac:dyDescent="0.25">
      <c r="A37" s="47" t="s">
        <v>15</v>
      </c>
      <c r="B37" s="30" t="s">
        <v>233</v>
      </c>
      <c r="C37" s="22">
        <f>'[1]Таблица 2'!$I$34</f>
        <v>21090.7</v>
      </c>
      <c r="D37" s="22"/>
      <c r="E37" s="22">
        <v>35279.5</v>
      </c>
      <c r="F37" s="22"/>
      <c r="G37" s="22"/>
      <c r="H37" s="22"/>
      <c r="I37" s="22">
        <f>E37</f>
        <v>35279.5</v>
      </c>
      <c r="J37" s="22">
        <f t="shared" si="0"/>
        <v>0</v>
      </c>
      <c r="K37" s="22"/>
      <c r="L37" s="31">
        <f t="shared" si="12"/>
        <v>1</v>
      </c>
      <c r="M37" s="31">
        <f t="shared" si="13"/>
        <v>1.6727514971053592</v>
      </c>
      <c r="N37" s="32"/>
      <c r="O37" s="32"/>
      <c r="P37" s="32"/>
    </row>
    <row r="38" spans="1:17" s="33" customFormat="1" ht="45" x14ac:dyDescent="0.25">
      <c r="A38" s="47" t="s">
        <v>15</v>
      </c>
      <c r="B38" s="30" t="s">
        <v>234</v>
      </c>
      <c r="C38" s="22"/>
      <c r="D38" s="22"/>
      <c r="E38" s="22">
        <v>5000</v>
      </c>
      <c r="F38" s="22"/>
      <c r="G38" s="22"/>
      <c r="H38" s="22"/>
      <c r="I38" s="22"/>
      <c r="J38" s="22">
        <f t="shared" ref="J38" si="17">I38-E38</f>
        <v>-5000</v>
      </c>
      <c r="K38" s="22"/>
      <c r="L38" s="31">
        <f t="shared" ref="L38" si="18">I38/E38</f>
        <v>0</v>
      </c>
      <c r="M38" s="31"/>
      <c r="N38" s="32"/>
      <c r="O38" s="32"/>
      <c r="P38" s="32"/>
    </row>
    <row r="39" spans="1:17" s="33" customFormat="1" ht="45" customHeight="1" x14ac:dyDescent="0.25">
      <c r="A39" s="47"/>
      <c r="B39" s="30" t="s">
        <v>218</v>
      </c>
      <c r="C39" s="22">
        <f>'[1]Таблица 2'!$I$35</f>
        <v>7152</v>
      </c>
      <c r="D39" s="22"/>
      <c r="E39" s="22"/>
      <c r="F39" s="22"/>
      <c r="G39" s="22"/>
      <c r="H39" s="22"/>
      <c r="I39" s="48"/>
      <c r="J39" s="22"/>
      <c r="K39" s="22"/>
      <c r="L39" s="31"/>
      <c r="M39" s="31"/>
      <c r="N39" s="32"/>
      <c r="O39" s="32"/>
      <c r="P39" s="32"/>
    </row>
    <row r="40" spans="1:17" s="33" customFormat="1" ht="30" customHeight="1" x14ac:dyDescent="0.25">
      <c r="A40" s="47"/>
      <c r="B40" s="30" t="s">
        <v>189</v>
      </c>
      <c r="C40" s="22">
        <f>'[1]Таблица 2'!$I$36</f>
        <v>4065.5</v>
      </c>
      <c r="D40" s="22"/>
      <c r="E40" s="22"/>
      <c r="F40" s="22"/>
      <c r="G40" s="22"/>
      <c r="H40" s="22"/>
      <c r="I40" s="22"/>
      <c r="J40" s="22"/>
      <c r="K40" s="22"/>
      <c r="L40" s="31"/>
      <c r="M40" s="31"/>
      <c r="N40" s="32"/>
      <c r="O40" s="32"/>
      <c r="P40" s="32"/>
    </row>
    <row r="41" spans="1:17" s="33" customFormat="1" ht="45" x14ac:dyDescent="0.25">
      <c r="A41" s="47" t="s">
        <v>15</v>
      </c>
      <c r="B41" s="30" t="s">
        <v>236</v>
      </c>
      <c r="C41" s="22"/>
      <c r="D41" s="22"/>
      <c r="E41" s="22">
        <v>1328.4</v>
      </c>
      <c r="F41" s="22"/>
      <c r="G41" s="22"/>
      <c r="H41" s="22"/>
      <c r="I41" s="22">
        <f>E41</f>
        <v>1328.4</v>
      </c>
      <c r="J41" s="22">
        <f t="shared" ref="J41" si="19">I41-E41</f>
        <v>0</v>
      </c>
      <c r="K41" s="22"/>
      <c r="L41" s="31">
        <f t="shared" ref="L41" si="20">I41/E41</f>
        <v>1</v>
      </c>
      <c r="M41" s="31"/>
      <c r="N41" s="32"/>
      <c r="O41" s="32"/>
      <c r="P41" s="32"/>
    </row>
    <row r="42" spans="1:17" s="33" customFormat="1" ht="30" hidden="1" customHeight="1" x14ac:dyDescent="0.25">
      <c r="A42" s="47" t="s">
        <v>15</v>
      </c>
      <c r="B42" s="30" t="s">
        <v>67</v>
      </c>
      <c r="C42" s="22"/>
      <c r="D42" s="22"/>
      <c r="E42" s="22"/>
      <c r="F42" s="22"/>
      <c r="G42" s="22"/>
      <c r="H42" s="22"/>
      <c r="I42" s="22"/>
      <c r="J42" s="22"/>
      <c r="K42" s="22"/>
      <c r="L42" s="31"/>
      <c r="M42" s="31"/>
      <c r="N42" s="32"/>
      <c r="O42" s="32"/>
      <c r="P42" s="32"/>
    </row>
    <row r="43" spans="1:17" s="33" customFormat="1" ht="15" customHeight="1" x14ac:dyDescent="0.25">
      <c r="A43" s="47" t="s">
        <v>15</v>
      </c>
      <c r="B43" s="30" t="s">
        <v>68</v>
      </c>
      <c r="C43" s="22">
        <f>'[1]Таблица 2'!$I$38</f>
        <v>145927.5</v>
      </c>
      <c r="D43" s="22"/>
      <c r="E43" s="22">
        <v>170585</v>
      </c>
      <c r="F43" s="22"/>
      <c r="G43" s="22"/>
      <c r="H43" s="22"/>
      <c r="I43" s="22">
        <v>165955.1</v>
      </c>
      <c r="J43" s="22">
        <f t="shared" si="0"/>
        <v>-4629.8999999999942</v>
      </c>
      <c r="K43" s="22"/>
      <c r="L43" s="31">
        <f t="shared" si="12"/>
        <v>0.97285869214760978</v>
      </c>
      <c r="M43" s="31">
        <f t="shared" si="13"/>
        <v>1.1372434942008876</v>
      </c>
      <c r="N43" s="32"/>
      <c r="O43" s="32"/>
      <c r="P43" s="32"/>
    </row>
    <row r="44" spans="1:17" s="17" customFormat="1" ht="69.95" customHeight="1" x14ac:dyDescent="0.2">
      <c r="A44" s="86" t="s">
        <v>5</v>
      </c>
      <c r="B44" s="86" t="s">
        <v>52</v>
      </c>
      <c r="C44" s="86" t="s">
        <v>216</v>
      </c>
      <c r="D44" s="86" t="s">
        <v>37</v>
      </c>
      <c r="E44" s="86" t="s">
        <v>226</v>
      </c>
      <c r="F44" s="86" t="s">
        <v>40</v>
      </c>
      <c r="G44" s="18" t="s">
        <v>38</v>
      </c>
      <c r="H44" s="18" t="s">
        <v>39</v>
      </c>
      <c r="I44" s="86" t="s">
        <v>227</v>
      </c>
      <c r="J44" s="18" t="s">
        <v>187</v>
      </c>
      <c r="K44" s="18" t="s">
        <v>41</v>
      </c>
      <c r="L44" s="18" t="s">
        <v>228</v>
      </c>
      <c r="M44" s="18" t="s">
        <v>229</v>
      </c>
      <c r="N44" s="16"/>
      <c r="O44" s="16"/>
      <c r="P44" s="16"/>
    </row>
    <row r="45" spans="1:17" s="17" customFormat="1" ht="15" customHeight="1" x14ac:dyDescent="0.2">
      <c r="A45" s="76">
        <v>1</v>
      </c>
      <c r="B45" s="76">
        <v>1</v>
      </c>
      <c r="C45" s="76">
        <v>2</v>
      </c>
      <c r="D45" s="76">
        <v>3</v>
      </c>
      <c r="E45" s="76">
        <v>3</v>
      </c>
      <c r="F45" s="18">
        <v>6</v>
      </c>
      <c r="G45" s="18">
        <v>7</v>
      </c>
      <c r="H45" s="18">
        <v>7</v>
      </c>
      <c r="I45" s="18">
        <v>4</v>
      </c>
      <c r="J45" s="18">
        <v>5</v>
      </c>
      <c r="K45" s="18">
        <v>8</v>
      </c>
      <c r="L45" s="18">
        <v>6</v>
      </c>
      <c r="M45" s="18">
        <v>7</v>
      </c>
      <c r="N45" s="16"/>
      <c r="O45" s="16"/>
      <c r="P45" s="16"/>
    </row>
    <row r="46" spans="1:17" s="46" customFormat="1" ht="15" customHeight="1" x14ac:dyDescent="0.25">
      <c r="A46" s="42"/>
      <c r="B46" s="42" t="s">
        <v>69</v>
      </c>
      <c r="C46" s="43">
        <f>SUM(C47:C56)</f>
        <v>272225.30000000005</v>
      </c>
      <c r="D46" s="43">
        <f>SUM(D47:D56)</f>
        <v>0</v>
      </c>
      <c r="E46" s="43">
        <f>SUM(E47:E56)</f>
        <v>286403.69999999995</v>
      </c>
      <c r="F46" s="43"/>
      <c r="G46" s="43"/>
      <c r="H46" s="43"/>
      <c r="I46" s="43">
        <f>SUM(I47:I56)</f>
        <v>284058.5</v>
      </c>
      <c r="J46" s="43">
        <f t="shared" si="0"/>
        <v>-2345.1999999999534</v>
      </c>
      <c r="K46" s="43"/>
      <c r="L46" s="44">
        <f t="shared" ref="L46:L50" si="21">I46/E46</f>
        <v>0.99181155830039924</v>
      </c>
      <c r="M46" s="44">
        <f t="shared" ref="M46:M50" si="22">I46/C46</f>
        <v>1.043468406500057</v>
      </c>
      <c r="N46" s="45"/>
      <c r="O46" s="45"/>
      <c r="P46" s="66">
        <f>I46-C46</f>
        <v>11833.199999999953</v>
      </c>
      <c r="Q46" s="84">
        <f>P46/C46</f>
        <v>4.3468406500056941E-2</v>
      </c>
    </row>
    <row r="47" spans="1:17" s="33" customFormat="1" ht="45" customHeight="1" x14ac:dyDescent="0.25">
      <c r="A47" s="47" t="s">
        <v>15</v>
      </c>
      <c r="B47" s="30" t="s">
        <v>190</v>
      </c>
      <c r="C47" s="22">
        <f>'[1]Таблица 2'!$I$42</f>
        <v>0</v>
      </c>
      <c r="D47" s="22">
        <v>0</v>
      </c>
      <c r="E47" s="22">
        <v>5.0999999999999996</v>
      </c>
      <c r="F47" s="22"/>
      <c r="G47" s="22"/>
      <c r="H47" s="22"/>
      <c r="I47" s="22">
        <f t="shared" ref="I47" si="23">E47</f>
        <v>5.0999999999999996</v>
      </c>
      <c r="J47" s="22">
        <f t="shared" ref="J47" si="24">I47-E47</f>
        <v>0</v>
      </c>
      <c r="K47" s="22"/>
      <c r="L47" s="31">
        <f t="shared" ref="L47" si="25">I47/E47</f>
        <v>1</v>
      </c>
      <c r="M47" s="31"/>
      <c r="N47" s="32"/>
      <c r="O47" s="32"/>
      <c r="P47" s="32"/>
    </row>
    <row r="48" spans="1:17" s="33" customFormat="1" ht="45" customHeight="1" x14ac:dyDescent="0.25">
      <c r="A48" s="47" t="s">
        <v>15</v>
      </c>
      <c r="B48" s="30" t="s">
        <v>70</v>
      </c>
      <c r="C48" s="22">
        <f>'[1]Таблица 2'!$I$43</f>
        <v>660</v>
      </c>
      <c r="D48" s="22"/>
      <c r="E48" s="22">
        <v>727</v>
      </c>
      <c r="F48" s="22"/>
      <c r="G48" s="22"/>
      <c r="H48" s="22"/>
      <c r="I48" s="22">
        <f t="shared" ref="I48:I61" si="26">E48</f>
        <v>727</v>
      </c>
      <c r="J48" s="22">
        <f t="shared" si="0"/>
        <v>0</v>
      </c>
      <c r="K48" s="22"/>
      <c r="L48" s="31">
        <f t="shared" si="21"/>
        <v>1</v>
      </c>
      <c r="M48" s="31">
        <f t="shared" si="22"/>
        <v>1.1015151515151516</v>
      </c>
      <c r="N48" s="32"/>
      <c r="O48" s="32"/>
      <c r="P48" s="32"/>
    </row>
    <row r="49" spans="1:17" s="33" customFormat="1" ht="30" customHeight="1" x14ac:dyDescent="0.25">
      <c r="A49" s="47" t="s">
        <v>15</v>
      </c>
      <c r="B49" s="30" t="s">
        <v>71</v>
      </c>
      <c r="C49" s="22">
        <f>'[1]Таблица 2'!$I$44</f>
        <v>2018.6</v>
      </c>
      <c r="D49" s="22"/>
      <c r="E49" s="22"/>
      <c r="F49" s="22"/>
      <c r="G49" s="22"/>
      <c r="H49" s="22"/>
      <c r="I49" s="22"/>
      <c r="J49" s="22"/>
      <c r="K49" s="22"/>
      <c r="L49" s="31"/>
      <c r="M49" s="31"/>
      <c r="N49" s="32"/>
      <c r="O49" s="32"/>
      <c r="P49" s="32"/>
    </row>
    <row r="50" spans="1:17" s="33" customFormat="1" ht="30" customHeight="1" x14ac:dyDescent="0.25">
      <c r="A50" s="47" t="s">
        <v>15</v>
      </c>
      <c r="B50" s="30" t="s">
        <v>72</v>
      </c>
      <c r="C50" s="22">
        <f>'[1]Таблица 2'!$I$45</f>
        <v>184864.9</v>
      </c>
      <c r="D50" s="22"/>
      <c r="E50" s="22">
        <v>271022</v>
      </c>
      <c r="F50" s="22"/>
      <c r="G50" s="22"/>
      <c r="H50" s="22"/>
      <c r="I50" s="22">
        <v>268676.90000000002</v>
      </c>
      <c r="J50" s="22">
        <f t="shared" si="0"/>
        <v>-2345.0999999999767</v>
      </c>
      <c r="K50" s="22"/>
      <c r="L50" s="31">
        <f t="shared" si="21"/>
        <v>0.99134719690652429</v>
      </c>
      <c r="M50" s="31">
        <f t="shared" si="22"/>
        <v>1.4533689196813457</v>
      </c>
      <c r="N50" s="32"/>
      <c r="O50" s="32"/>
      <c r="P50" s="32"/>
    </row>
    <row r="51" spans="1:17" s="33" customFormat="1" ht="75" customHeight="1" x14ac:dyDescent="0.25">
      <c r="A51" s="47" t="s">
        <v>15</v>
      </c>
      <c r="B51" s="30" t="s">
        <v>219</v>
      </c>
      <c r="C51" s="22">
        <f>'[1]Таблица 2'!$I$46</f>
        <v>2244</v>
      </c>
      <c r="D51" s="22"/>
      <c r="E51" s="22">
        <v>14649.6</v>
      </c>
      <c r="F51" s="22"/>
      <c r="G51" s="22"/>
      <c r="H51" s="22"/>
      <c r="I51" s="22">
        <v>14649.5</v>
      </c>
      <c r="J51" s="22">
        <f t="shared" ref="J51" si="27">I51-E51</f>
        <v>-0.1000000000003638</v>
      </c>
      <c r="K51" s="22"/>
      <c r="L51" s="31">
        <f t="shared" ref="L51" si="28">I51/E51</f>
        <v>0.9999931738750546</v>
      </c>
      <c r="M51" s="31">
        <f t="shared" ref="M51" si="29">I51/C51</f>
        <v>6.5282976827094474</v>
      </c>
      <c r="N51" s="32"/>
      <c r="O51" s="32"/>
      <c r="P51" s="32"/>
    </row>
    <row r="52" spans="1:17" s="33" customFormat="1" ht="45" customHeight="1" x14ac:dyDescent="0.25">
      <c r="A52" s="47" t="s">
        <v>15</v>
      </c>
      <c r="B52" s="30" t="s">
        <v>73</v>
      </c>
      <c r="C52" s="22">
        <f>'[1]Таблица 2'!$I$47</f>
        <v>26644.7</v>
      </c>
      <c r="D52" s="22"/>
      <c r="E52" s="22"/>
      <c r="F52" s="22"/>
      <c r="G52" s="22"/>
      <c r="H52" s="22"/>
      <c r="I52" s="22"/>
      <c r="J52" s="22"/>
      <c r="K52" s="22"/>
      <c r="L52" s="31"/>
      <c r="M52" s="31"/>
      <c r="N52" s="32"/>
      <c r="O52" s="32"/>
      <c r="P52" s="32"/>
    </row>
    <row r="53" spans="1:17" s="33" customFormat="1" ht="60" hidden="1" customHeight="1" x14ac:dyDescent="0.25">
      <c r="A53" s="47" t="s">
        <v>15</v>
      </c>
      <c r="B53" s="30" t="s">
        <v>74</v>
      </c>
      <c r="C53" s="48"/>
      <c r="D53" s="48"/>
      <c r="E53" s="48"/>
      <c r="F53" s="22"/>
      <c r="G53" s="22"/>
      <c r="H53" s="22"/>
      <c r="I53" s="22">
        <f t="shared" si="26"/>
        <v>0</v>
      </c>
      <c r="J53" s="22">
        <f t="shared" si="0"/>
        <v>0</v>
      </c>
      <c r="K53" s="22"/>
      <c r="L53" s="31"/>
      <c r="M53" s="31"/>
      <c r="N53" s="32"/>
      <c r="O53" s="32"/>
      <c r="P53" s="32"/>
    </row>
    <row r="54" spans="1:17" s="33" customFormat="1" ht="75" customHeight="1" x14ac:dyDescent="0.25">
      <c r="A54" s="47" t="s">
        <v>15</v>
      </c>
      <c r="B54" s="30" t="s">
        <v>75</v>
      </c>
      <c r="C54" s="22">
        <f>'[1]Таблица 2'!$I$49</f>
        <v>7376.4</v>
      </c>
      <c r="D54" s="22"/>
      <c r="E54" s="22"/>
      <c r="F54" s="22"/>
      <c r="G54" s="22"/>
      <c r="H54" s="22"/>
      <c r="I54" s="22"/>
      <c r="J54" s="22"/>
      <c r="K54" s="22"/>
      <c r="L54" s="31"/>
      <c r="M54" s="31"/>
      <c r="N54" s="32"/>
      <c r="O54" s="32"/>
      <c r="P54" s="32"/>
    </row>
    <row r="55" spans="1:17" s="33" customFormat="1" ht="60" customHeight="1" x14ac:dyDescent="0.25">
      <c r="A55" s="47" t="s">
        <v>15</v>
      </c>
      <c r="B55" s="30" t="s">
        <v>191</v>
      </c>
      <c r="C55" s="22">
        <f>'[1]Таблица 2'!$I$50</f>
        <v>614.70000000000005</v>
      </c>
      <c r="D55" s="22"/>
      <c r="E55" s="22"/>
      <c r="F55" s="22"/>
      <c r="G55" s="22"/>
      <c r="H55" s="22"/>
      <c r="I55" s="22"/>
      <c r="J55" s="22"/>
      <c r="K55" s="22"/>
      <c r="L55" s="31"/>
      <c r="M55" s="31"/>
      <c r="N55" s="32"/>
      <c r="O55" s="32"/>
      <c r="P55" s="32"/>
    </row>
    <row r="56" spans="1:17" s="33" customFormat="1" ht="15" customHeight="1" x14ac:dyDescent="0.25">
      <c r="A56" s="47" t="s">
        <v>15</v>
      </c>
      <c r="B56" s="30" t="s">
        <v>76</v>
      </c>
      <c r="C56" s="22">
        <f>'[1]Таблица 2'!$I$51</f>
        <v>47802</v>
      </c>
      <c r="D56" s="22"/>
      <c r="E56" s="22"/>
      <c r="F56" s="22"/>
      <c r="G56" s="22"/>
      <c r="H56" s="22"/>
      <c r="I56" s="22"/>
      <c r="J56" s="22"/>
      <c r="K56" s="22"/>
      <c r="L56" s="31"/>
      <c r="M56" s="31"/>
      <c r="N56" s="32"/>
      <c r="O56" s="32"/>
      <c r="P56" s="32"/>
    </row>
    <row r="57" spans="1:17" s="46" customFormat="1" ht="15" customHeight="1" x14ac:dyDescent="0.25">
      <c r="A57" s="42"/>
      <c r="B57" s="42" t="s">
        <v>77</v>
      </c>
      <c r="C57" s="43">
        <f>SUM(C58:C62)</f>
        <v>9901.2999999999993</v>
      </c>
      <c r="D57" s="43">
        <f>SUM(D58:D63)</f>
        <v>0</v>
      </c>
      <c r="E57" s="43">
        <f t="shared" ref="E57:I57" si="30">SUM(E58:E62)</f>
        <v>9856.7999999999993</v>
      </c>
      <c r="F57" s="43">
        <f t="shared" si="30"/>
        <v>0</v>
      </c>
      <c r="G57" s="43">
        <f t="shared" si="30"/>
        <v>0</v>
      </c>
      <c r="H57" s="43">
        <f t="shared" si="30"/>
        <v>0</v>
      </c>
      <c r="I57" s="43">
        <f t="shared" si="30"/>
        <v>9855.9</v>
      </c>
      <c r="J57" s="43">
        <f t="shared" si="0"/>
        <v>-0.8999999999996362</v>
      </c>
      <c r="K57" s="43"/>
      <c r="L57" s="44">
        <f t="shared" ref="L57:L62" si="31">I57/E57</f>
        <v>0.99990869247626013</v>
      </c>
      <c r="M57" s="44">
        <f t="shared" ref="M57:M64" si="32">I57/C57</f>
        <v>0.99541474351852788</v>
      </c>
      <c r="N57" s="45"/>
      <c r="O57" s="45"/>
      <c r="P57" s="66">
        <f>I57-C57</f>
        <v>-45.399999999999636</v>
      </c>
      <c r="Q57" s="84">
        <f>P57/C57</f>
        <v>-4.5852564814720933E-3</v>
      </c>
    </row>
    <row r="58" spans="1:17" s="33" customFormat="1" ht="60" customHeight="1" x14ac:dyDescent="0.25">
      <c r="A58" s="47" t="s">
        <v>15</v>
      </c>
      <c r="B58" s="30" t="s">
        <v>78</v>
      </c>
      <c r="C58" s="22">
        <f>'[1]Таблица 2'!$I$53</f>
        <v>1108.7</v>
      </c>
      <c r="D58" s="22"/>
      <c r="E58" s="22">
        <v>552.4</v>
      </c>
      <c r="F58" s="22"/>
      <c r="G58" s="22"/>
      <c r="H58" s="22"/>
      <c r="I58" s="22">
        <v>551.5</v>
      </c>
      <c r="J58" s="22">
        <f t="shared" si="0"/>
        <v>-0.89999999999997726</v>
      </c>
      <c r="K58" s="22"/>
      <c r="L58" s="31">
        <f t="shared" si="31"/>
        <v>0.99837074583635055</v>
      </c>
      <c r="M58" s="31">
        <f t="shared" si="32"/>
        <v>0.49742942184540451</v>
      </c>
      <c r="N58" s="32"/>
      <c r="O58" s="32"/>
      <c r="P58" s="32"/>
    </row>
    <row r="59" spans="1:17" s="33" customFormat="1" ht="60" customHeight="1" x14ac:dyDescent="0.25">
      <c r="A59" s="47" t="s">
        <v>15</v>
      </c>
      <c r="B59" s="30" t="s">
        <v>79</v>
      </c>
      <c r="C59" s="22">
        <f>'[1]Таблица 2'!$I$54</f>
        <v>627.4</v>
      </c>
      <c r="D59" s="22"/>
      <c r="E59" s="22">
        <v>866.5</v>
      </c>
      <c r="F59" s="22"/>
      <c r="G59" s="22"/>
      <c r="H59" s="22"/>
      <c r="I59" s="22">
        <f t="shared" si="26"/>
        <v>866.5</v>
      </c>
      <c r="J59" s="22">
        <f t="shared" si="0"/>
        <v>0</v>
      </c>
      <c r="K59" s="22"/>
      <c r="L59" s="31">
        <f t="shared" si="31"/>
        <v>1</v>
      </c>
      <c r="M59" s="31">
        <f t="shared" si="32"/>
        <v>1.3810965890978641</v>
      </c>
      <c r="N59" s="32"/>
      <c r="O59" s="32"/>
      <c r="P59" s="32"/>
    </row>
    <row r="60" spans="1:17" s="33" customFormat="1" ht="45" customHeight="1" x14ac:dyDescent="0.25">
      <c r="A60" s="47" t="s">
        <v>15</v>
      </c>
      <c r="B60" s="30" t="s">
        <v>80</v>
      </c>
      <c r="C60" s="22">
        <f>'[1]Таблица 2'!$I$55</f>
        <v>117</v>
      </c>
      <c r="D60" s="22"/>
      <c r="E60" s="22"/>
      <c r="F60" s="22"/>
      <c r="G60" s="22"/>
      <c r="H60" s="22"/>
      <c r="I60" s="22"/>
      <c r="J60" s="22"/>
      <c r="K60" s="22"/>
      <c r="L60" s="31"/>
      <c r="M60" s="31"/>
      <c r="N60" s="32"/>
      <c r="O60" s="32"/>
      <c r="P60" s="32"/>
    </row>
    <row r="61" spans="1:17" s="33" customFormat="1" ht="75" hidden="1" customHeight="1" x14ac:dyDescent="0.25">
      <c r="A61" s="47" t="s">
        <v>15</v>
      </c>
      <c r="B61" s="30" t="s">
        <v>81</v>
      </c>
      <c r="C61" s="22"/>
      <c r="D61" s="22"/>
      <c r="E61" s="22"/>
      <c r="F61" s="22"/>
      <c r="G61" s="22"/>
      <c r="H61" s="22"/>
      <c r="I61" s="22">
        <f t="shared" si="26"/>
        <v>0</v>
      </c>
      <c r="J61" s="22">
        <f t="shared" si="0"/>
        <v>0</v>
      </c>
      <c r="K61" s="22"/>
      <c r="L61" s="31" t="e">
        <f t="shared" si="31"/>
        <v>#DIV/0!</v>
      </c>
      <c r="M61" s="31" t="e">
        <f t="shared" si="32"/>
        <v>#DIV/0!</v>
      </c>
      <c r="N61" s="32"/>
      <c r="O61" s="32"/>
      <c r="P61" s="32"/>
    </row>
    <row r="62" spans="1:17" s="33" customFormat="1" ht="30" customHeight="1" x14ac:dyDescent="0.25">
      <c r="A62" s="47" t="s">
        <v>15</v>
      </c>
      <c r="B62" s="30" t="s">
        <v>82</v>
      </c>
      <c r="C62" s="22">
        <f>'[1]Таблица 2'!$I$57</f>
        <v>8048.2</v>
      </c>
      <c r="D62" s="22"/>
      <c r="E62" s="22">
        <v>8437.9</v>
      </c>
      <c r="F62" s="22"/>
      <c r="G62" s="22"/>
      <c r="H62" s="22"/>
      <c r="I62" s="48">
        <f>E62</f>
        <v>8437.9</v>
      </c>
      <c r="J62" s="22">
        <f t="shared" si="0"/>
        <v>0</v>
      </c>
      <c r="K62" s="22"/>
      <c r="L62" s="31">
        <f t="shared" si="31"/>
        <v>1</v>
      </c>
      <c r="M62" s="31">
        <f t="shared" si="32"/>
        <v>1.0484207648915285</v>
      </c>
      <c r="N62" s="32"/>
      <c r="O62" s="32"/>
      <c r="P62" s="32"/>
    </row>
    <row r="63" spans="1:17" s="46" customFormat="1" ht="15" customHeight="1" x14ac:dyDescent="0.25">
      <c r="A63" s="49" t="s">
        <v>15</v>
      </c>
      <c r="B63" s="42" t="s">
        <v>83</v>
      </c>
      <c r="C63" s="43">
        <f>'[1]Таблица 2'!$I$58</f>
        <v>195.8</v>
      </c>
      <c r="D63" s="43"/>
      <c r="E63" s="43"/>
      <c r="F63" s="43"/>
      <c r="G63" s="43"/>
      <c r="H63" s="43"/>
      <c r="I63" s="43"/>
      <c r="J63" s="43"/>
      <c r="K63" s="43"/>
      <c r="L63" s="44"/>
      <c r="M63" s="44"/>
      <c r="N63" s="45"/>
      <c r="O63" s="45"/>
      <c r="P63" s="45"/>
    </row>
    <row r="64" spans="1:17" s="46" customFormat="1" ht="30" customHeight="1" x14ac:dyDescent="0.25">
      <c r="A64" s="49" t="s">
        <v>15</v>
      </c>
      <c r="B64" s="42" t="s">
        <v>192</v>
      </c>
      <c r="C64" s="43">
        <f>'[1]Таблица 2'!$I$59</f>
        <v>2088</v>
      </c>
      <c r="D64" s="43"/>
      <c r="E64" s="43">
        <v>10</v>
      </c>
      <c r="F64" s="43"/>
      <c r="G64" s="43"/>
      <c r="H64" s="43"/>
      <c r="I64" s="43">
        <f t="shared" ref="I64" si="33">E64</f>
        <v>10</v>
      </c>
      <c r="J64" s="43">
        <f t="shared" ref="J64" si="34">I64-E64</f>
        <v>0</v>
      </c>
      <c r="K64" s="43"/>
      <c r="L64" s="44">
        <f t="shared" ref="L64" si="35">I64/E64</f>
        <v>1</v>
      </c>
      <c r="M64" s="44">
        <f t="shared" si="32"/>
        <v>4.7892720306513406E-3</v>
      </c>
      <c r="N64" s="45"/>
      <c r="O64" s="45"/>
      <c r="P64" s="45"/>
    </row>
    <row r="65" spans="1:16" s="46" customFormat="1" ht="30" customHeight="1" x14ac:dyDescent="0.25">
      <c r="A65" s="49" t="s">
        <v>15</v>
      </c>
      <c r="B65" s="42" t="s">
        <v>237</v>
      </c>
      <c r="C65" s="43"/>
      <c r="D65" s="43"/>
      <c r="E65" s="43"/>
      <c r="F65" s="43"/>
      <c r="G65" s="43"/>
      <c r="H65" s="43"/>
      <c r="I65" s="43">
        <v>100.1</v>
      </c>
      <c r="J65" s="43"/>
      <c r="K65" s="43"/>
      <c r="L65" s="44"/>
      <c r="M65" s="44"/>
      <c r="N65" s="45"/>
      <c r="O65" s="45"/>
      <c r="P65" s="45"/>
    </row>
    <row r="66" spans="1:16" s="46" customFormat="1" ht="45" customHeight="1" x14ac:dyDescent="0.25">
      <c r="A66" s="49" t="s">
        <v>15</v>
      </c>
      <c r="B66" s="42" t="s">
        <v>193</v>
      </c>
      <c r="C66" s="43">
        <f>'[1]Таблица 2'!$I$60</f>
        <v>-93.5</v>
      </c>
      <c r="D66" s="43"/>
      <c r="E66" s="43"/>
      <c r="F66" s="43"/>
      <c r="G66" s="43"/>
      <c r="H66" s="43"/>
      <c r="I66" s="43">
        <v>-3474.8</v>
      </c>
      <c r="J66" s="43"/>
      <c r="K66" s="43"/>
      <c r="L66" s="44"/>
      <c r="M66" s="44"/>
      <c r="N66" s="45"/>
      <c r="O66" s="45"/>
      <c r="P66" s="45"/>
    </row>
    <row r="67" spans="1:16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 hidden="1" x14ac:dyDescent="0.25">
      <c r="A68" s="1"/>
      <c r="B68" s="1"/>
      <c r="C68" s="1"/>
      <c r="D68" s="1"/>
      <c r="E68" s="1"/>
      <c r="F68" s="1"/>
      <c r="G68" s="1"/>
      <c r="H68" s="1"/>
      <c r="I68" s="109">
        <f>I8-I46</f>
        <v>378542.1</v>
      </c>
      <c r="J68" s="1"/>
      <c r="K68" s="1"/>
      <c r="L68" s="1"/>
      <c r="M68" s="1"/>
      <c r="N68" s="1"/>
      <c r="O68" s="1"/>
      <c r="P68" s="1"/>
    </row>
    <row r="69" spans="1:16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</sheetData>
  <mergeCells count="3">
    <mergeCell ref="K1:M1"/>
    <mergeCell ref="A3:M3"/>
    <mergeCell ref="K5:M5"/>
  </mergeCells>
  <pageMargins left="0.98425196850393704" right="0.39370078740157483" top="0.59055118110236227" bottom="0.59055118110236227" header="0.31496062992125984" footer="0.31496062992125984"/>
  <pageSetup paperSize="9" scale="7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workbookViewId="0"/>
  </sheetViews>
  <sheetFormatPr defaultRowHeight="15" x14ac:dyDescent="0.25"/>
  <cols>
    <col min="1" max="1" width="6.7109375" style="55" customWidth="1"/>
    <col min="2" max="2" width="40.7109375" customWidth="1"/>
    <col min="3" max="5" width="10.7109375" customWidth="1"/>
    <col min="6" max="6" width="11.28515625" hidden="1" customWidth="1"/>
    <col min="7" max="8" width="10.7109375" hidden="1" customWidth="1"/>
    <col min="9" max="12" width="10.7109375" customWidth="1"/>
    <col min="13" max="13" width="10.28515625" customWidth="1"/>
    <col min="14" max="14" width="10.7109375" hidden="1" customWidth="1"/>
    <col min="15" max="16" width="10.7109375" style="33" hidden="1" customWidth="1"/>
  </cols>
  <sheetData>
    <row r="1" spans="1:16" ht="15.75" customHeight="1" x14ac:dyDescent="0.25">
      <c r="A1" s="20"/>
      <c r="B1" s="1"/>
      <c r="C1" s="1"/>
      <c r="D1" s="1"/>
      <c r="E1" s="1"/>
      <c r="F1" s="1"/>
      <c r="G1" s="1"/>
      <c r="H1" s="1"/>
      <c r="I1" s="1"/>
      <c r="J1" s="119" t="s">
        <v>85</v>
      </c>
      <c r="K1" s="119"/>
      <c r="L1" s="119"/>
      <c r="M1" s="119"/>
      <c r="N1" s="1"/>
      <c r="O1" s="1"/>
      <c r="P1" s="1"/>
    </row>
    <row r="2" spans="1:16" ht="11.25" customHeight="1" x14ac:dyDescent="0.25">
      <c r="A2" s="2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2.5" customHeight="1" x14ac:dyDescent="0.25">
      <c r="A3" s="120" t="s">
        <v>240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"/>
      <c r="O3" s="1"/>
      <c r="P3" s="1"/>
    </row>
    <row r="4" spans="1:16" ht="9" customHeight="1" x14ac:dyDescent="0.25">
      <c r="A4" s="2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3" customFormat="1" ht="20.100000000000001" customHeight="1" x14ac:dyDescent="0.2">
      <c r="A5" s="53"/>
      <c r="B5" s="2"/>
      <c r="C5" s="2"/>
      <c r="D5" s="2"/>
      <c r="E5" s="2"/>
      <c r="F5" s="2"/>
      <c r="G5" s="2"/>
      <c r="H5" s="2"/>
      <c r="I5" s="2"/>
      <c r="J5" s="2"/>
      <c r="K5" s="118" t="s">
        <v>213</v>
      </c>
      <c r="L5" s="118"/>
      <c r="M5" s="118"/>
      <c r="N5" s="2"/>
      <c r="O5" s="2"/>
      <c r="P5" s="2"/>
    </row>
    <row r="6" spans="1:16" s="17" customFormat="1" ht="80.099999999999994" customHeight="1" x14ac:dyDescent="0.2">
      <c r="A6" s="28" t="s">
        <v>87</v>
      </c>
      <c r="B6" s="28" t="s">
        <v>52</v>
      </c>
      <c r="C6" s="28" t="s">
        <v>216</v>
      </c>
      <c r="D6" s="28" t="s">
        <v>223</v>
      </c>
      <c r="E6" s="28" t="s">
        <v>238</v>
      </c>
      <c r="F6" s="28" t="s">
        <v>40</v>
      </c>
      <c r="G6" s="18" t="s">
        <v>38</v>
      </c>
      <c r="H6" s="18" t="s">
        <v>39</v>
      </c>
      <c r="I6" s="28" t="s">
        <v>227</v>
      </c>
      <c r="J6" s="18" t="s">
        <v>39</v>
      </c>
      <c r="K6" s="18" t="s">
        <v>182</v>
      </c>
      <c r="L6" s="18" t="s">
        <v>239</v>
      </c>
      <c r="M6" s="18" t="s">
        <v>247</v>
      </c>
      <c r="N6" s="16"/>
      <c r="O6" s="16"/>
      <c r="P6" s="16"/>
    </row>
    <row r="7" spans="1:16" s="17" customFormat="1" ht="15" customHeight="1" x14ac:dyDescent="0.2">
      <c r="A7" s="28">
        <v>1</v>
      </c>
      <c r="B7" s="28">
        <v>2</v>
      </c>
      <c r="C7" s="28">
        <v>3</v>
      </c>
      <c r="D7" s="28">
        <v>4</v>
      </c>
      <c r="E7" s="18">
        <v>5</v>
      </c>
      <c r="F7" s="18">
        <v>7</v>
      </c>
      <c r="G7" s="18">
        <v>7</v>
      </c>
      <c r="H7" s="18">
        <v>5</v>
      </c>
      <c r="I7" s="18">
        <v>6</v>
      </c>
      <c r="J7" s="18">
        <v>7</v>
      </c>
      <c r="K7" s="18">
        <v>8</v>
      </c>
      <c r="L7" s="18">
        <v>9</v>
      </c>
      <c r="M7" s="18">
        <v>10</v>
      </c>
      <c r="N7" s="16"/>
      <c r="O7" s="16"/>
      <c r="P7" s="16"/>
    </row>
    <row r="8" spans="1:16" s="6" customFormat="1" ht="20.100000000000001" customHeight="1" x14ac:dyDescent="0.25">
      <c r="A8" s="54"/>
      <c r="B8" s="57" t="s">
        <v>86</v>
      </c>
      <c r="C8" s="10">
        <f>C9+C19+C22+C25+C34+C38+C41+C46+C48+C54+C57-0.1</f>
        <v>609484</v>
      </c>
      <c r="D8" s="10">
        <f>D9+D19+D22+D25+D34+D38+D41+D46+D48+D54+D57-0.1</f>
        <v>685730.7</v>
      </c>
      <c r="E8" s="10">
        <f>E9+E19+E22+E25+E34+E38+E41+E46+E48+E54+E57</f>
        <v>687864.1</v>
      </c>
      <c r="F8" s="10"/>
      <c r="G8" s="24"/>
      <c r="H8" s="24"/>
      <c r="I8" s="10">
        <f>I9+I19+I22+I25+I34+I38+I41+I46+I48+I54+I57-0.1</f>
        <v>663776.59999999986</v>
      </c>
      <c r="J8" s="24">
        <f>I8-E8</f>
        <v>-24087.500000000116</v>
      </c>
      <c r="K8" s="24">
        <f>I8-C8</f>
        <v>54292.59999999986</v>
      </c>
      <c r="L8" s="27">
        <f>I8/E8</f>
        <v>0.96498218180015483</v>
      </c>
      <c r="M8" s="27">
        <f>I8/C8</f>
        <v>1.0890796148873472</v>
      </c>
      <c r="N8" s="5"/>
      <c r="O8" s="109">
        <f>E8-D8</f>
        <v>2133.4000000000233</v>
      </c>
      <c r="P8" s="61">
        <f>O8/D8</f>
        <v>3.1111338605665801E-3</v>
      </c>
    </row>
    <row r="9" spans="1:16" s="38" customFormat="1" ht="30" customHeight="1" x14ac:dyDescent="0.25">
      <c r="A9" s="52" t="s">
        <v>89</v>
      </c>
      <c r="B9" s="34" t="s">
        <v>107</v>
      </c>
      <c r="C9" s="35">
        <f>SUM(C10:C14)+SUM(C16:C18)</f>
        <v>42626.100000000006</v>
      </c>
      <c r="D9" s="35">
        <f>SUM(D10:D14)+SUM(D16:D18)</f>
        <v>45199.199999999997</v>
      </c>
      <c r="E9" s="35">
        <f>SUM(E10:E14)+SUM(E16:E18)</f>
        <v>45991.9</v>
      </c>
      <c r="F9" s="35"/>
      <c r="G9" s="35"/>
      <c r="H9" s="35"/>
      <c r="I9" s="35">
        <f>SUM(I10:I14)+SUM(I16:I18)</f>
        <v>44163.700000000004</v>
      </c>
      <c r="J9" s="35">
        <f t="shared" ref="J9:J21" si="0">I9-E9</f>
        <v>-1828.1999999999971</v>
      </c>
      <c r="K9" s="35">
        <f t="shared" ref="K9:K59" si="1">I9-C9</f>
        <v>1537.5999999999985</v>
      </c>
      <c r="L9" s="36">
        <f>I9/E9</f>
        <v>0.96024952219847415</v>
      </c>
      <c r="M9" s="36">
        <f>I9/C9</f>
        <v>1.0360717963876591</v>
      </c>
      <c r="N9" s="37"/>
      <c r="O9" s="74">
        <f>I9-C9</f>
        <v>1537.5999999999985</v>
      </c>
      <c r="P9" s="75">
        <f>O9/C9</f>
        <v>3.6071796387659165E-2</v>
      </c>
    </row>
    <row r="10" spans="1:16" s="56" customFormat="1" ht="45" customHeight="1" x14ac:dyDescent="0.25">
      <c r="A10" s="11" t="s">
        <v>88</v>
      </c>
      <c r="B10" s="8" t="s">
        <v>95</v>
      </c>
      <c r="C10" s="13">
        <f>'[1]Таблица 3'!$I$10</f>
        <v>1486.5</v>
      </c>
      <c r="D10" s="13">
        <f>E10</f>
        <v>1486.5</v>
      </c>
      <c r="E10" s="13">
        <v>1486.5</v>
      </c>
      <c r="F10" s="13"/>
      <c r="G10" s="13"/>
      <c r="H10" s="13"/>
      <c r="I10" s="13">
        <v>1446.5</v>
      </c>
      <c r="J10" s="13">
        <f t="shared" si="0"/>
        <v>-40</v>
      </c>
      <c r="K10" s="13">
        <f t="shared" si="1"/>
        <v>-40</v>
      </c>
      <c r="L10" s="26">
        <f>I10/E10</f>
        <v>0.97309115371678434</v>
      </c>
      <c r="M10" s="26">
        <f>I10/C10</f>
        <v>0.97309115371678434</v>
      </c>
      <c r="N10" s="1"/>
      <c r="O10" s="74">
        <f t="shared" ref="O10:O59" si="2">I10-C10</f>
        <v>-40</v>
      </c>
      <c r="P10" s="75">
        <f t="shared" ref="P10:P59" si="3">O10/C10</f>
        <v>-2.6908846283215607E-2</v>
      </c>
    </row>
    <row r="11" spans="1:16" s="56" customFormat="1" ht="78" customHeight="1" x14ac:dyDescent="0.25">
      <c r="A11" s="11" t="s">
        <v>90</v>
      </c>
      <c r="B11" s="8" t="s">
        <v>94</v>
      </c>
      <c r="C11" s="13">
        <f>'[1]Таблица 3'!$I$11</f>
        <v>2678.9</v>
      </c>
      <c r="D11" s="13">
        <v>2786.2</v>
      </c>
      <c r="E11" s="21">
        <v>2757</v>
      </c>
      <c r="F11" s="13"/>
      <c r="G11" s="13"/>
      <c r="H11" s="13"/>
      <c r="I11" s="13">
        <v>2687.3</v>
      </c>
      <c r="J11" s="13">
        <f t="shared" si="0"/>
        <v>-69.699999999999818</v>
      </c>
      <c r="K11" s="13">
        <f t="shared" si="1"/>
        <v>8.4000000000000909</v>
      </c>
      <c r="L11" s="26">
        <f t="shared" ref="L11:L18" si="4">I11/E11</f>
        <v>0.97471889735219452</v>
      </c>
      <c r="M11" s="26">
        <f t="shared" ref="M11:M18" si="5">I11/C11</f>
        <v>1.0031356153645152</v>
      </c>
      <c r="N11" s="1"/>
      <c r="O11" s="74">
        <f t="shared" si="2"/>
        <v>8.4000000000000909</v>
      </c>
      <c r="P11" s="75">
        <f t="shared" si="3"/>
        <v>3.1356153645153199E-3</v>
      </c>
    </row>
    <row r="12" spans="1:16" s="56" customFormat="1" ht="78" customHeight="1" x14ac:dyDescent="0.25">
      <c r="A12" s="11" t="s">
        <v>91</v>
      </c>
      <c r="B12" s="8" t="s">
        <v>96</v>
      </c>
      <c r="C12" s="13">
        <f>'[1]Таблица 3'!$I$12</f>
        <v>31757</v>
      </c>
      <c r="D12" s="13">
        <v>33951.5</v>
      </c>
      <c r="E12" s="13">
        <v>34356.400000000001</v>
      </c>
      <c r="F12" s="13"/>
      <c r="G12" s="13"/>
      <c r="H12" s="13"/>
      <c r="I12" s="13">
        <v>34186.400000000001</v>
      </c>
      <c r="J12" s="13">
        <f t="shared" si="0"/>
        <v>-170</v>
      </c>
      <c r="K12" s="13">
        <f t="shared" si="1"/>
        <v>2429.4000000000015</v>
      </c>
      <c r="L12" s="26">
        <f t="shared" si="4"/>
        <v>0.99505186806533863</v>
      </c>
      <c r="M12" s="26">
        <f t="shared" si="5"/>
        <v>1.0764996693642348</v>
      </c>
      <c r="N12" s="1"/>
      <c r="O12" s="74">
        <f t="shared" si="2"/>
        <v>2429.4000000000015</v>
      </c>
      <c r="P12" s="75">
        <f t="shared" si="3"/>
        <v>7.6499669364234704E-2</v>
      </c>
    </row>
    <row r="13" spans="1:16" s="56" customFormat="1" ht="15" customHeight="1" x14ac:dyDescent="0.25">
      <c r="A13" s="11" t="s">
        <v>178</v>
      </c>
      <c r="B13" s="8" t="s">
        <v>179</v>
      </c>
      <c r="C13" s="13"/>
      <c r="D13" s="13"/>
      <c r="E13" s="13">
        <v>5.0999999999999996</v>
      </c>
      <c r="F13" s="13"/>
      <c r="G13" s="13"/>
      <c r="H13" s="13"/>
      <c r="I13" s="13">
        <f>E13</f>
        <v>5.0999999999999996</v>
      </c>
      <c r="J13" s="13">
        <f t="shared" ref="J13" si="6">I13-E13</f>
        <v>0</v>
      </c>
      <c r="K13" s="13"/>
      <c r="L13" s="26">
        <f t="shared" si="4"/>
        <v>1</v>
      </c>
      <c r="M13" s="26"/>
      <c r="N13" s="1"/>
      <c r="O13" s="74">
        <f t="shared" si="2"/>
        <v>5.0999999999999996</v>
      </c>
      <c r="P13" s="75" t="e">
        <f t="shared" si="3"/>
        <v>#DIV/0!</v>
      </c>
    </row>
    <row r="14" spans="1:16" s="56" customFormat="1" ht="60" customHeight="1" x14ac:dyDescent="0.25">
      <c r="A14" s="11" t="s">
        <v>92</v>
      </c>
      <c r="B14" s="8" t="s">
        <v>97</v>
      </c>
      <c r="C14" s="13">
        <f>'[1]Таблица 3'!$I$14</f>
        <v>1884.9</v>
      </c>
      <c r="D14" s="13">
        <v>1824.6</v>
      </c>
      <c r="E14" s="13">
        <v>2177.4</v>
      </c>
      <c r="F14" s="13"/>
      <c r="G14" s="13"/>
      <c r="H14" s="13"/>
      <c r="I14" s="13">
        <v>2160</v>
      </c>
      <c r="J14" s="13">
        <f t="shared" si="0"/>
        <v>-17.400000000000091</v>
      </c>
      <c r="K14" s="13">
        <f t="shared" si="1"/>
        <v>275.09999999999991</v>
      </c>
      <c r="L14" s="26">
        <f t="shared" si="4"/>
        <v>0.99200881785615869</v>
      </c>
      <c r="M14" s="26">
        <f t="shared" si="5"/>
        <v>1.145949387235397</v>
      </c>
      <c r="N14" s="1"/>
      <c r="O14" s="74">
        <f t="shared" si="2"/>
        <v>275.09999999999991</v>
      </c>
      <c r="P14" s="75">
        <f t="shared" si="3"/>
        <v>0.14594938723539705</v>
      </c>
    </row>
    <row r="15" spans="1:16" s="17" customFormat="1" ht="15" customHeight="1" x14ac:dyDescent="0.2">
      <c r="A15" s="86">
        <v>1</v>
      </c>
      <c r="B15" s="86">
        <v>2</v>
      </c>
      <c r="C15" s="86">
        <v>3</v>
      </c>
      <c r="D15" s="86">
        <v>4</v>
      </c>
      <c r="E15" s="18">
        <v>5</v>
      </c>
      <c r="F15" s="18">
        <v>7</v>
      </c>
      <c r="G15" s="18">
        <v>7</v>
      </c>
      <c r="H15" s="18">
        <v>5</v>
      </c>
      <c r="I15" s="18">
        <v>6</v>
      </c>
      <c r="J15" s="18">
        <v>7</v>
      </c>
      <c r="K15" s="18">
        <v>8</v>
      </c>
      <c r="L15" s="18">
        <v>9</v>
      </c>
      <c r="M15" s="18">
        <v>10</v>
      </c>
      <c r="N15" s="16"/>
      <c r="O15" s="16"/>
      <c r="P15" s="16"/>
    </row>
    <row r="16" spans="1:16" s="56" customFormat="1" ht="31.5" x14ac:dyDescent="0.25">
      <c r="A16" s="11" t="s">
        <v>220</v>
      </c>
      <c r="B16" s="8" t="s">
        <v>221</v>
      </c>
      <c r="C16" s="13">
        <f>'[1]Таблица 3'!$I$15</f>
        <v>1736.2</v>
      </c>
      <c r="D16" s="13"/>
      <c r="E16" s="13"/>
      <c r="F16" s="13"/>
      <c r="G16" s="13"/>
      <c r="H16" s="13"/>
      <c r="I16" s="13"/>
      <c r="J16" s="13"/>
      <c r="K16" s="13"/>
      <c r="L16" s="26"/>
      <c r="M16" s="26"/>
      <c r="N16" s="1"/>
      <c r="O16" s="74">
        <f t="shared" ref="O16" si="7">I16-C16</f>
        <v>-1736.2</v>
      </c>
      <c r="P16" s="75">
        <f t="shared" ref="P16" si="8">O16/C16</f>
        <v>-1</v>
      </c>
    </row>
    <row r="17" spans="1:16" s="56" customFormat="1" ht="15" customHeight="1" x14ac:dyDescent="0.25">
      <c r="A17" s="11" t="s">
        <v>180</v>
      </c>
      <c r="B17" s="8" t="s">
        <v>181</v>
      </c>
      <c r="C17" s="13"/>
      <c r="D17" s="13"/>
      <c r="E17" s="13">
        <v>1296.4000000000001</v>
      </c>
      <c r="F17" s="13"/>
      <c r="G17" s="13"/>
      <c r="H17" s="13"/>
      <c r="I17" s="13"/>
      <c r="J17" s="13">
        <f t="shared" ref="J17" si="9">I17-E17</f>
        <v>-1296.4000000000001</v>
      </c>
      <c r="K17" s="13"/>
      <c r="L17" s="26"/>
      <c r="M17" s="26"/>
      <c r="N17" s="1"/>
      <c r="O17" s="74">
        <f t="shared" si="2"/>
        <v>0</v>
      </c>
      <c r="P17" s="75" t="e">
        <f t="shared" si="3"/>
        <v>#DIV/0!</v>
      </c>
    </row>
    <row r="18" spans="1:16" s="56" customFormat="1" ht="15" customHeight="1" x14ac:dyDescent="0.25">
      <c r="A18" s="11" t="s">
        <v>93</v>
      </c>
      <c r="B18" s="8" t="s">
        <v>98</v>
      </c>
      <c r="C18" s="13">
        <f>'[1]Таблица 3'!$I$17</f>
        <v>3082.6</v>
      </c>
      <c r="D18" s="13">
        <v>5150.3999999999996</v>
      </c>
      <c r="E18" s="13">
        <v>3913.1</v>
      </c>
      <c r="F18" s="13"/>
      <c r="G18" s="13"/>
      <c r="H18" s="13"/>
      <c r="I18" s="13">
        <v>3678.4</v>
      </c>
      <c r="J18" s="13">
        <f t="shared" si="0"/>
        <v>-234.69999999999982</v>
      </c>
      <c r="K18" s="13">
        <f t="shared" si="1"/>
        <v>595.80000000000018</v>
      </c>
      <c r="L18" s="26">
        <f t="shared" si="4"/>
        <v>0.94002197746032556</v>
      </c>
      <c r="M18" s="26">
        <f t="shared" si="5"/>
        <v>1.1932784013495101</v>
      </c>
      <c r="N18" s="1"/>
      <c r="O18" s="74">
        <f t="shared" si="2"/>
        <v>595.80000000000018</v>
      </c>
      <c r="P18" s="75">
        <f t="shared" si="3"/>
        <v>0.19327840134951021</v>
      </c>
    </row>
    <row r="19" spans="1:16" s="38" customFormat="1" ht="15" customHeight="1" x14ac:dyDescent="0.25">
      <c r="A19" s="52" t="s">
        <v>99</v>
      </c>
      <c r="B19" s="34" t="s">
        <v>102</v>
      </c>
      <c r="C19" s="35">
        <f>SUM(C20:C21)</f>
        <v>699.8</v>
      </c>
      <c r="D19" s="35">
        <f>SUM(D20:D21)</f>
        <v>769.3</v>
      </c>
      <c r="E19" s="35">
        <f>SUM(E20:E21)</f>
        <v>816.3</v>
      </c>
      <c r="F19" s="35"/>
      <c r="G19" s="35"/>
      <c r="H19" s="35"/>
      <c r="I19" s="35">
        <f>SUM(I20:I21)</f>
        <v>791.9</v>
      </c>
      <c r="J19" s="35">
        <f t="shared" si="0"/>
        <v>-24.399999999999977</v>
      </c>
      <c r="K19" s="35">
        <f t="shared" si="1"/>
        <v>92.100000000000023</v>
      </c>
      <c r="L19" s="36">
        <f>I19/E19</f>
        <v>0.97010902854342773</v>
      </c>
      <c r="M19" s="36">
        <f>I19/C19</f>
        <v>1.1316090311517577</v>
      </c>
      <c r="N19" s="37"/>
      <c r="O19" s="74">
        <f t="shared" si="2"/>
        <v>92.100000000000023</v>
      </c>
      <c r="P19" s="75">
        <f t="shared" si="3"/>
        <v>0.13160903115175768</v>
      </c>
    </row>
    <row r="20" spans="1:16" s="56" customFormat="1" ht="30" customHeight="1" x14ac:dyDescent="0.25">
      <c r="A20" s="29" t="s">
        <v>100</v>
      </c>
      <c r="B20" s="59" t="s">
        <v>103</v>
      </c>
      <c r="C20" s="58">
        <f>'[1]Таблица 3'!$I$19</f>
        <v>660</v>
      </c>
      <c r="D20" s="58">
        <v>680</v>
      </c>
      <c r="E20" s="58">
        <v>727</v>
      </c>
      <c r="F20" s="58"/>
      <c r="G20" s="13"/>
      <c r="H20" s="13"/>
      <c r="I20" s="58">
        <f>E20</f>
        <v>727</v>
      </c>
      <c r="J20" s="13">
        <f t="shared" si="0"/>
        <v>0</v>
      </c>
      <c r="K20" s="13">
        <f t="shared" si="1"/>
        <v>67</v>
      </c>
      <c r="L20" s="26">
        <f>I20/E20</f>
        <v>1</v>
      </c>
      <c r="M20" s="26">
        <f>I20/C20</f>
        <v>1.1015151515151516</v>
      </c>
      <c r="N20" s="1"/>
      <c r="O20" s="74">
        <f t="shared" si="2"/>
        <v>67</v>
      </c>
      <c r="P20" s="75">
        <f t="shared" si="3"/>
        <v>0.10151515151515152</v>
      </c>
    </row>
    <row r="21" spans="1:16" s="56" customFormat="1" ht="15" customHeight="1" x14ac:dyDescent="0.25">
      <c r="A21" s="29" t="s">
        <v>101</v>
      </c>
      <c r="B21" s="59" t="s">
        <v>104</v>
      </c>
      <c r="C21" s="58">
        <f>'[1]Таблица 3'!$I$20</f>
        <v>39.799999999999997</v>
      </c>
      <c r="D21" s="58">
        <f>E21</f>
        <v>89.3</v>
      </c>
      <c r="E21" s="58">
        <v>89.3</v>
      </c>
      <c r="F21" s="58"/>
      <c r="G21" s="13"/>
      <c r="H21" s="13"/>
      <c r="I21" s="58">
        <v>64.900000000000006</v>
      </c>
      <c r="J21" s="13">
        <f t="shared" si="0"/>
        <v>-24.399999999999991</v>
      </c>
      <c r="K21" s="13">
        <f t="shared" si="1"/>
        <v>25.100000000000009</v>
      </c>
      <c r="L21" s="26">
        <f t="shared" ref="L21" si="10">I21/E21</f>
        <v>0.72676371780515125</v>
      </c>
      <c r="M21" s="26">
        <f t="shared" ref="M21" si="11">I21/C21</f>
        <v>1.6306532663316586</v>
      </c>
      <c r="N21" s="1"/>
      <c r="O21" s="74">
        <f t="shared" si="2"/>
        <v>25.100000000000009</v>
      </c>
      <c r="P21" s="75">
        <f t="shared" si="3"/>
        <v>0.63065326633165852</v>
      </c>
    </row>
    <row r="22" spans="1:16" s="38" customFormat="1" ht="45" customHeight="1" x14ac:dyDescent="0.25">
      <c r="A22" s="52" t="s">
        <v>105</v>
      </c>
      <c r="B22" s="34" t="s">
        <v>106</v>
      </c>
      <c r="C22" s="35">
        <f>SUM(C23:C23)</f>
        <v>1077.2</v>
      </c>
      <c r="D22" s="35">
        <f>SUM(D23:D24)</f>
        <v>1997</v>
      </c>
      <c r="E22" s="35">
        <f>SUM(E23:E24)</f>
        <v>1677</v>
      </c>
      <c r="F22" s="35"/>
      <c r="G22" s="35"/>
      <c r="H22" s="35"/>
      <c r="I22" s="35">
        <f>SUM(I23:I24)</f>
        <v>1400.8</v>
      </c>
      <c r="J22" s="35">
        <f t="shared" ref="J22:J32" si="12">I22-E22</f>
        <v>-276.20000000000005</v>
      </c>
      <c r="K22" s="35">
        <f t="shared" si="1"/>
        <v>323.59999999999991</v>
      </c>
      <c r="L22" s="36">
        <f>I22/E22</f>
        <v>0.83530113297555153</v>
      </c>
      <c r="M22" s="36">
        <f>I22/C22</f>
        <v>1.3004084663943556</v>
      </c>
      <c r="N22" s="37"/>
      <c r="O22" s="74">
        <f t="shared" si="2"/>
        <v>323.59999999999991</v>
      </c>
      <c r="P22" s="75">
        <f t="shared" si="3"/>
        <v>0.30040846639435564</v>
      </c>
    </row>
    <row r="23" spans="1:16" s="56" customFormat="1" ht="60" customHeight="1" x14ac:dyDescent="0.25">
      <c r="A23" s="11" t="s">
        <v>109</v>
      </c>
      <c r="B23" s="8" t="s">
        <v>108</v>
      </c>
      <c r="C23" s="13">
        <f>'[1]Таблица 3'!$I$23</f>
        <v>1077.2</v>
      </c>
      <c r="D23" s="13">
        <v>1835</v>
      </c>
      <c r="E23" s="13">
        <v>1515</v>
      </c>
      <c r="F23" s="13"/>
      <c r="G23" s="13"/>
      <c r="H23" s="13"/>
      <c r="I23" s="13">
        <v>1400.8</v>
      </c>
      <c r="J23" s="13">
        <f t="shared" si="12"/>
        <v>-114.20000000000005</v>
      </c>
      <c r="K23" s="13">
        <f t="shared" si="1"/>
        <v>323.59999999999991</v>
      </c>
      <c r="L23" s="26">
        <f t="shared" ref="L23" si="13">I23/E23</f>
        <v>0.92462046204620463</v>
      </c>
      <c r="M23" s="26">
        <f t="shared" ref="M23" si="14">I23/C23</f>
        <v>1.3004084663943556</v>
      </c>
      <c r="N23" s="1"/>
      <c r="O23" s="74">
        <f t="shared" si="2"/>
        <v>323.59999999999991</v>
      </c>
      <c r="P23" s="75">
        <f t="shared" si="3"/>
        <v>0.30040846639435564</v>
      </c>
    </row>
    <row r="24" spans="1:16" s="56" customFormat="1" ht="15.75" x14ac:dyDescent="0.25">
      <c r="A24" s="11" t="s">
        <v>242</v>
      </c>
      <c r="B24" s="8" t="s">
        <v>241</v>
      </c>
      <c r="C24" s="13"/>
      <c r="D24" s="13">
        <f>E24</f>
        <v>162</v>
      </c>
      <c r="E24" s="13">
        <v>162</v>
      </c>
      <c r="F24" s="13"/>
      <c r="G24" s="13"/>
      <c r="H24" s="13"/>
      <c r="I24" s="13"/>
      <c r="J24" s="13">
        <f t="shared" si="12"/>
        <v>-162</v>
      </c>
      <c r="K24" s="13"/>
      <c r="L24" s="26"/>
      <c r="M24" s="26"/>
      <c r="N24" s="1"/>
      <c r="O24" s="74"/>
      <c r="P24" s="75"/>
    </row>
    <row r="25" spans="1:16" s="38" customFormat="1" ht="15" customHeight="1" x14ac:dyDescent="0.25">
      <c r="A25" s="52" t="s">
        <v>110</v>
      </c>
      <c r="B25" s="34" t="s">
        <v>111</v>
      </c>
      <c r="C25" s="35">
        <f>SUM(C26:C33)</f>
        <v>50801.500000000007</v>
      </c>
      <c r="D25" s="35">
        <f>SUM(D26:D33)</f>
        <v>102146.9</v>
      </c>
      <c r="E25" s="35">
        <f>SUM(E26:E33)</f>
        <v>49931</v>
      </c>
      <c r="F25" s="35"/>
      <c r="G25" s="35"/>
      <c r="H25" s="35"/>
      <c r="I25" s="35">
        <f>SUM(I26:I33)</f>
        <v>43017.1</v>
      </c>
      <c r="J25" s="35">
        <f t="shared" si="12"/>
        <v>-6913.9000000000015</v>
      </c>
      <c r="K25" s="35">
        <f t="shared" si="1"/>
        <v>-7784.4000000000087</v>
      </c>
      <c r="L25" s="36">
        <f>I25/E25</f>
        <v>0.86153091265947002</v>
      </c>
      <c r="M25" s="36">
        <f>I25/C25</f>
        <v>0.84676830408550918</v>
      </c>
      <c r="N25" s="37"/>
      <c r="O25" s="74">
        <f t="shared" si="2"/>
        <v>-7784.4000000000087</v>
      </c>
      <c r="P25" s="75">
        <f t="shared" si="3"/>
        <v>-0.15323169591449087</v>
      </c>
    </row>
    <row r="26" spans="1:16" s="56" customFormat="1" ht="15" customHeight="1" x14ac:dyDescent="0.25">
      <c r="A26" s="11" t="s">
        <v>112</v>
      </c>
      <c r="B26" s="8" t="s">
        <v>118</v>
      </c>
      <c r="C26" s="13">
        <f>'[1]Таблица 3'!$I$25</f>
        <v>599.9</v>
      </c>
      <c r="D26" s="13">
        <v>677.3</v>
      </c>
      <c r="E26" s="13">
        <v>856.6</v>
      </c>
      <c r="F26" s="13"/>
      <c r="G26" s="13"/>
      <c r="H26" s="13"/>
      <c r="I26" s="21">
        <v>855.1</v>
      </c>
      <c r="J26" s="13">
        <f t="shared" si="12"/>
        <v>-1.5</v>
      </c>
      <c r="K26" s="13">
        <f t="shared" si="1"/>
        <v>255.20000000000005</v>
      </c>
      <c r="L26" s="26">
        <f>I26/E26</f>
        <v>0.99824889096427738</v>
      </c>
      <c r="M26" s="26">
        <f>I26/C26</f>
        <v>1.4254042340390065</v>
      </c>
      <c r="N26" s="1"/>
      <c r="O26" s="74">
        <f t="shared" si="2"/>
        <v>255.20000000000005</v>
      </c>
      <c r="P26" s="75">
        <f t="shared" si="3"/>
        <v>0.42540423403900657</v>
      </c>
    </row>
    <row r="27" spans="1:16" s="56" customFormat="1" ht="15" customHeight="1" x14ac:dyDescent="0.25">
      <c r="A27" s="11" t="s">
        <v>113</v>
      </c>
      <c r="B27" s="8" t="s">
        <v>119</v>
      </c>
      <c r="C27" s="13">
        <f>'[1]Таблица 3'!$I$26</f>
        <v>28408.3</v>
      </c>
      <c r="D27" s="13">
        <v>52354.400000000001</v>
      </c>
      <c r="E27" s="13"/>
      <c r="F27" s="13"/>
      <c r="G27" s="13"/>
      <c r="H27" s="13"/>
      <c r="I27" s="13"/>
      <c r="J27" s="13"/>
      <c r="K27" s="13"/>
      <c r="L27" s="26"/>
      <c r="M27" s="26"/>
      <c r="N27" s="1"/>
      <c r="O27" s="74">
        <f t="shared" si="2"/>
        <v>-28408.3</v>
      </c>
      <c r="P27" s="75">
        <f t="shared" si="3"/>
        <v>-1</v>
      </c>
    </row>
    <row r="28" spans="1:16" s="56" customFormat="1" ht="15" customHeight="1" x14ac:dyDescent="0.25">
      <c r="A28" s="11" t="s">
        <v>114</v>
      </c>
      <c r="B28" s="8" t="s">
        <v>120</v>
      </c>
      <c r="C28" s="13">
        <f>'[1]Таблица 3'!$I$27</f>
        <v>3133.4</v>
      </c>
      <c r="D28" s="13">
        <f>E28</f>
        <v>574.5</v>
      </c>
      <c r="E28" s="13">
        <v>574.5</v>
      </c>
      <c r="F28" s="13"/>
      <c r="G28" s="13"/>
      <c r="H28" s="13"/>
      <c r="I28" s="13">
        <v>524.70000000000005</v>
      </c>
      <c r="J28" s="13">
        <f t="shared" si="12"/>
        <v>-49.799999999999955</v>
      </c>
      <c r="K28" s="13">
        <f t="shared" si="1"/>
        <v>-2608.6999999999998</v>
      </c>
      <c r="L28" s="26">
        <f t="shared" ref="L28" si="15">I28/E28</f>
        <v>0.91331592689295049</v>
      </c>
      <c r="M28" s="26">
        <f t="shared" ref="M28:M32" si="16">I28/C28</f>
        <v>0.16745388395991576</v>
      </c>
      <c r="N28" s="1"/>
      <c r="O28" s="74">
        <f t="shared" si="2"/>
        <v>-2608.6999999999998</v>
      </c>
      <c r="P28" s="75">
        <f t="shared" si="3"/>
        <v>-0.83254611604008422</v>
      </c>
    </row>
    <row r="29" spans="1:16" s="56" customFormat="1" ht="15" hidden="1" customHeight="1" x14ac:dyDescent="0.25">
      <c r="A29" s="11" t="s">
        <v>115</v>
      </c>
      <c r="B29" s="8" t="s">
        <v>121</v>
      </c>
      <c r="C29" s="13"/>
      <c r="D29" s="13"/>
      <c r="E29" s="13"/>
      <c r="F29" s="13"/>
      <c r="G29" s="13"/>
      <c r="H29" s="13"/>
      <c r="I29" s="13"/>
      <c r="J29" s="13"/>
      <c r="K29" s="13"/>
      <c r="L29" s="26"/>
      <c r="M29" s="26" t="e">
        <f t="shared" si="16"/>
        <v>#DIV/0!</v>
      </c>
      <c r="N29" s="1"/>
      <c r="O29" s="74">
        <f t="shared" si="2"/>
        <v>0</v>
      </c>
      <c r="P29" s="75" t="e">
        <f t="shared" si="3"/>
        <v>#DIV/0!</v>
      </c>
    </row>
    <row r="30" spans="1:16" s="56" customFormat="1" ht="15" customHeight="1" x14ac:dyDescent="0.25">
      <c r="A30" s="11" t="s">
        <v>122</v>
      </c>
      <c r="B30" s="8" t="s">
        <v>123</v>
      </c>
      <c r="C30" s="13">
        <f>'[1]Таблица 3'!$I$29</f>
        <v>2150</v>
      </c>
      <c r="D30" s="13"/>
      <c r="E30" s="13">
        <v>433.2</v>
      </c>
      <c r="F30" s="13"/>
      <c r="G30" s="13"/>
      <c r="H30" s="13"/>
      <c r="I30" s="13">
        <f>E30</f>
        <v>433.2</v>
      </c>
      <c r="J30" s="13">
        <f t="shared" ref="J30" si="17">I30-E30</f>
        <v>0</v>
      </c>
      <c r="K30" s="13">
        <f t="shared" si="1"/>
        <v>-1716.8</v>
      </c>
      <c r="L30" s="26">
        <f t="shared" ref="L30" si="18">I30/E30</f>
        <v>1</v>
      </c>
      <c r="M30" s="26">
        <f t="shared" ref="M30" si="19">I30/C30</f>
        <v>0.20148837209302325</v>
      </c>
      <c r="N30" s="1"/>
      <c r="O30" s="74">
        <f t="shared" si="2"/>
        <v>-1716.8</v>
      </c>
      <c r="P30" s="75">
        <f t="shared" si="3"/>
        <v>-0.79851162790697672</v>
      </c>
    </row>
    <row r="31" spans="1:16" s="56" customFormat="1" ht="15" customHeight="1" x14ac:dyDescent="0.25">
      <c r="A31" s="11" t="s">
        <v>124</v>
      </c>
      <c r="B31" s="8" t="s">
        <v>125</v>
      </c>
      <c r="C31" s="13">
        <f>'[1]Таблица 3'!$I$30</f>
        <v>9861.2999999999993</v>
      </c>
      <c r="D31" s="13">
        <f>E31</f>
        <v>43935.7</v>
      </c>
      <c r="E31" s="13">
        <v>43935.7</v>
      </c>
      <c r="F31" s="13"/>
      <c r="G31" s="13"/>
      <c r="H31" s="13"/>
      <c r="I31" s="13">
        <v>39305.4</v>
      </c>
      <c r="J31" s="13">
        <f t="shared" ref="J31" si="20">I31-E31</f>
        <v>-4630.2999999999956</v>
      </c>
      <c r="K31" s="13">
        <f t="shared" si="1"/>
        <v>29444.100000000002</v>
      </c>
      <c r="L31" s="26">
        <f t="shared" ref="L31" si="21">I31/E31</f>
        <v>0.89461189875204006</v>
      </c>
      <c r="M31" s="26">
        <f t="shared" ref="M31" si="22">I31/C31</f>
        <v>3.9858233701438963</v>
      </c>
      <c r="N31" s="1"/>
      <c r="O31" s="74">
        <f t="shared" si="2"/>
        <v>29444.100000000002</v>
      </c>
      <c r="P31" s="75">
        <f t="shared" si="3"/>
        <v>2.9858233701438963</v>
      </c>
    </row>
    <row r="32" spans="1:16" s="56" customFormat="1" ht="15" hidden="1" customHeight="1" x14ac:dyDescent="0.25">
      <c r="A32" s="11" t="s">
        <v>116</v>
      </c>
      <c r="B32" s="8" t="s">
        <v>126</v>
      </c>
      <c r="C32" s="13">
        <f>'[2]Таблица 3'!$I$30</f>
        <v>0</v>
      </c>
      <c r="D32" s="13"/>
      <c r="E32" s="13"/>
      <c r="F32" s="13"/>
      <c r="G32" s="13"/>
      <c r="H32" s="13"/>
      <c r="I32" s="13"/>
      <c r="J32" s="13">
        <f t="shared" si="12"/>
        <v>0</v>
      </c>
      <c r="K32" s="13">
        <f t="shared" si="1"/>
        <v>0</v>
      </c>
      <c r="L32" s="26"/>
      <c r="M32" s="26" t="e">
        <f t="shared" si="16"/>
        <v>#DIV/0!</v>
      </c>
      <c r="N32" s="1"/>
      <c r="O32" s="74">
        <f t="shared" si="2"/>
        <v>0</v>
      </c>
      <c r="P32" s="75" t="e">
        <f t="shared" si="3"/>
        <v>#DIV/0!</v>
      </c>
    </row>
    <row r="33" spans="1:16" s="56" customFormat="1" ht="30" customHeight="1" x14ac:dyDescent="0.25">
      <c r="A33" s="11" t="s">
        <v>117</v>
      </c>
      <c r="B33" s="8" t="s">
        <v>127</v>
      </c>
      <c r="C33" s="13">
        <f>'[1]Таблица 3'!$I$32</f>
        <v>6648.6</v>
      </c>
      <c r="D33" s="13">
        <v>4605</v>
      </c>
      <c r="E33" s="13">
        <v>4131</v>
      </c>
      <c r="F33" s="13"/>
      <c r="G33" s="13"/>
      <c r="H33" s="13"/>
      <c r="I33" s="13">
        <v>1898.7</v>
      </c>
      <c r="J33" s="13">
        <f t="shared" ref="J33:J37" si="23">I33-E33</f>
        <v>-2232.3000000000002</v>
      </c>
      <c r="K33" s="13">
        <f t="shared" si="1"/>
        <v>-4749.9000000000005</v>
      </c>
      <c r="L33" s="26">
        <f t="shared" ref="L33" si="24">I33/E33</f>
        <v>0.45962236746550472</v>
      </c>
      <c r="M33" s="26">
        <f t="shared" ref="M33" si="25">I33/C33</f>
        <v>0.28557891887013809</v>
      </c>
      <c r="N33" s="1"/>
      <c r="O33" s="74">
        <f t="shared" si="2"/>
        <v>-4749.9000000000005</v>
      </c>
      <c r="P33" s="75">
        <f t="shared" si="3"/>
        <v>-0.71442108112986202</v>
      </c>
    </row>
    <row r="34" spans="1:16" s="38" customFormat="1" ht="30" customHeight="1" x14ac:dyDescent="0.25">
      <c r="A34" s="52" t="s">
        <v>128</v>
      </c>
      <c r="B34" s="34" t="s">
        <v>134</v>
      </c>
      <c r="C34" s="35">
        <f>SUM(C35:C37)</f>
        <v>10788.699999999999</v>
      </c>
      <c r="D34" s="35">
        <f>SUM(D35:D37)</f>
        <v>13193.2</v>
      </c>
      <c r="E34" s="35">
        <f>SUM(E35:E37)</f>
        <v>65421.4</v>
      </c>
      <c r="F34" s="35"/>
      <c r="G34" s="35"/>
      <c r="H34" s="35"/>
      <c r="I34" s="35">
        <f>SUM(I35:I37)</f>
        <v>60212.5</v>
      </c>
      <c r="J34" s="35">
        <f t="shared" si="23"/>
        <v>-5208.9000000000015</v>
      </c>
      <c r="K34" s="35">
        <f t="shared" si="1"/>
        <v>49423.8</v>
      </c>
      <c r="L34" s="36">
        <f>I34/E34</f>
        <v>0.92037926427743821</v>
      </c>
      <c r="M34" s="36">
        <f>I34/C34</f>
        <v>5.5810709353304855</v>
      </c>
      <c r="N34" s="37"/>
      <c r="O34" s="74">
        <f t="shared" si="2"/>
        <v>49423.8</v>
      </c>
      <c r="P34" s="75">
        <f t="shared" si="3"/>
        <v>4.5810709353304855</v>
      </c>
    </row>
    <row r="35" spans="1:16" s="56" customFormat="1" ht="15" customHeight="1" x14ac:dyDescent="0.25">
      <c r="A35" s="11" t="s">
        <v>129</v>
      </c>
      <c r="B35" s="8" t="s">
        <v>132</v>
      </c>
      <c r="C35" s="13">
        <f>'[1]Таблица 3'!$I$34</f>
        <v>3965.1</v>
      </c>
      <c r="D35" s="13"/>
      <c r="E35" s="13">
        <v>17129.099999999999</v>
      </c>
      <c r="F35" s="13"/>
      <c r="G35" s="13"/>
      <c r="H35" s="13"/>
      <c r="I35" s="13">
        <v>17129</v>
      </c>
      <c r="J35" s="13">
        <f t="shared" si="23"/>
        <v>-9.9999999998544808E-2</v>
      </c>
      <c r="K35" s="13">
        <f t="shared" si="1"/>
        <v>13163.9</v>
      </c>
      <c r="L35" s="26">
        <f>I35/E35</f>
        <v>0.99999416198165703</v>
      </c>
      <c r="M35" s="26">
        <f>I35/C35</f>
        <v>4.319941489495851</v>
      </c>
      <c r="N35" s="1"/>
      <c r="O35" s="74">
        <f t="shared" si="2"/>
        <v>13163.9</v>
      </c>
      <c r="P35" s="75">
        <f t="shared" si="3"/>
        <v>3.3199414894958514</v>
      </c>
    </row>
    <row r="36" spans="1:16" s="56" customFormat="1" ht="15" customHeight="1" x14ac:dyDescent="0.25">
      <c r="A36" s="11" t="s">
        <v>130</v>
      </c>
      <c r="B36" s="8" t="s">
        <v>133</v>
      </c>
      <c r="C36" s="13">
        <f>'[1]Таблица 3'!$I$35</f>
        <v>6655.3</v>
      </c>
      <c r="D36" s="13">
        <v>11698.2</v>
      </c>
      <c r="E36" s="13">
        <v>45310.400000000001</v>
      </c>
      <c r="F36" s="13"/>
      <c r="G36" s="13"/>
      <c r="H36" s="13"/>
      <c r="I36" s="13">
        <v>40101.599999999999</v>
      </c>
      <c r="J36" s="13">
        <f t="shared" si="23"/>
        <v>-5208.8000000000029</v>
      </c>
      <c r="K36" s="13">
        <f t="shared" si="1"/>
        <v>33446.299999999996</v>
      </c>
      <c r="L36" s="26">
        <f t="shared" ref="L36:L37" si="26">I36/E36</f>
        <v>0.88504184469790592</v>
      </c>
      <c r="M36" s="26">
        <f t="shared" ref="M36:M37" si="27">I36/C36</f>
        <v>6.0255135005183833</v>
      </c>
      <c r="N36" s="1"/>
      <c r="O36" s="74">
        <f t="shared" si="2"/>
        <v>33446.299999999996</v>
      </c>
      <c r="P36" s="75">
        <f t="shared" si="3"/>
        <v>5.0255135005183833</v>
      </c>
    </row>
    <row r="37" spans="1:16" s="56" customFormat="1" ht="15" customHeight="1" x14ac:dyDescent="0.25">
      <c r="A37" s="11" t="s">
        <v>131</v>
      </c>
      <c r="B37" s="8" t="s">
        <v>135</v>
      </c>
      <c r="C37" s="13">
        <f>'[1]Таблица 3'!$I$36</f>
        <v>168.3</v>
      </c>
      <c r="D37" s="13">
        <v>1495</v>
      </c>
      <c r="E37" s="13">
        <v>2981.9</v>
      </c>
      <c r="F37" s="13"/>
      <c r="G37" s="13"/>
      <c r="H37" s="13"/>
      <c r="I37" s="21">
        <f>E37</f>
        <v>2981.9</v>
      </c>
      <c r="J37" s="13">
        <f t="shared" si="23"/>
        <v>0</v>
      </c>
      <c r="K37" s="13">
        <f t="shared" si="1"/>
        <v>2813.6</v>
      </c>
      <c r="L37" s="26">
        <f t="shared" si="26"/>
        <v>1</v>
      </c>
      <c r="M37" s="26">
        <f t="shared" si="27"/>
        <v>17.717765894236482</v>
      </c>
      <c r="N37" s="1"/>
      <c r="O37" s="74">
        <f t="shared" si="2"/>
        <v>2813.6</v>
      </c>
      <c r="P37" s="75">
        <f t="shared" si="3"/>
        <v>16.717765894236482</v>
      </c>
    </row>
    <row r="38" spans="1:16" s="38" customFormat="1" ht="15" customHeight="1" x14ac:dyDescent="0.25">
      <c r="A38" s="52" t="s">
        <v>136</v>
      </c>
      <c r="B38" s="34" t="s">
        <v>137</v>
      </c>
      <c r="C38" s="35">
        <f>C39</f>
        <v>265</v>
      </c>
      <c r="D38" s="35">
        <f>D39</f>
        <v>1904.7</v>
      </c>
      <c r="E38" s="35">
        <f>E39</f>
        <v>791.3</v>
      </c>
      <c r="F38" s="35"/>
      <c r="G38" s="35"/>
      <c r="H38" s="35"/>
      <c r="I38" s="35">
        <f>I39</f>
        <v>774.8</v>
      </c>
      <c r="J38" s="35">
        <f t="shared" ref="J38:J45" si="28">I38-E38</f>
        <v>-16.5</v>
      </c>
      <c r="K38" s="35">
        <f t="shared" si="1"/>
        <v>509.79999999999995</v>
      </c>
      <c r="L38" s="36">
        <f>I38/E38</f>
        <v>0.97914823707822574</v>
      </c>
      <c r="M38" s="36">
        <f>I38/C38</f>
        <v>2.9237735849056601</v>
      </c>
      <c r="N38" s="37"/>
      <c r="O38" s="74">
        <f t="shared" si="2"/>
        <v>509.79999999999995</v>
      </c>
      <c r="P38" s="75">
        <f t="shared" si="3"/>
        <v>1.9237735849056603</v>
      </c>
    </row>
    <row r="39" spans="1:16" s="56" customFormat="1" ht="30" customHeight="1" x14ac:dyDescent="0.25">
      <c r="A39" s="11" t="s">
        <v>138</v>
      </c>
      <c r="B39" s="8" t="s">
        <v>139</v>
      </c>
      <c r="C39" s="13">
        <f>'[1]Таблица 3'!$I$38</f>
        <v>265</v>
      </c>
      <c r="D39" s="13">
        <v>1904.7</v>
      </c>
      <c r="E39" s="13">
        <v>791.3</v>
      </c>
      <c r="F39" s="13"/>
      <c r="G39" s="13"/>
      <c r="H39" s="13"/>
      <c r="I39" s="13">
        <v>774.8</v>
      </c>
      <c r="J39" s="13">
        <f t="shared" si="28"/>
        <v>-16.5</v>
      </c>
      <c r="K39" s="13">
        <f t="shared" si="1"/>
        <v>509.79999999999995</v>
      </c>
      <c r="L39" s="26">
        <f>I39/E39</f>
        <v>0.97914823707822574</v>
      </c>
      <c r="M39" s="26">
        <f>I39/C39</f>
        <v>2.9237735849056601</v>
      </c>
      <c r="N39" s="1"/>
      <c r="O39" s="74">
        <f t="shared" si="2"/>
        <v>509.79999999999995</v>
      </c>
      <c r="P39" s="75">
        <f t="shared" si="3"/>
        <v>1.9237735849056603</v>
      </c>
    </row>
    <row r="40" spans="1:16" s="17" customFormat="1" ht="15" customHeight="1" x14ac:dyDescent="0.2">
      <c r="A40" s="86">
        <v>1</v>
      </c>
      <c r="B40" s="86">
        <v>2</v>
      </c>
      <c r="C40" s="86">
        <v>3</v>
      </c>
      <c r="D40" s="86">
        <v>4</v>
      </c>
      <c r="E40" s="18">
        <v>5</v>
      </c>
      <c r="F40" s="18">
        <v>7</v>
      </c>
      <c r="G40" s="18">
        <v>7</v>
      </c>
      <c r="H40" s="18">
        <v>5</v>
      </c>
      <c r="I40" s="18">
        <v>6</v>
      </c>
      <c r="J40" s="18">
        <v>7</v>
      </c>
      <c r="K40" s="18">
        <v>8</v>
      </c>
      <c r="L40" s="18">
        <v>9</v>
      </c>
      <c r="M40" s="18">
        <v>10</v>
      </c>
      <c r="N40" s="16"/>
      <c r="O40" s="16"/>
      <c r="P40" s="16"/>
    </row>
    <row r="41" spans="1:16" s="38" customFormat="1" ht="15" customHeight="1" x14ac:dyDescent="0.25">
      <c r="A41" s="52" t="s">
        <v>140</v>
      </c>
      <c r="B41" s="34" t="s">
        <v>141</v>
      </c>
      <c r="C41" s="35">
        <f>SUM(C42:C45)</f>
        <v>308314</v>
      </c>
      <c r="D41" s="35">
        <f>SUM(D42:D45)</f>
        <v>330656.59999999998</v>
      </c>
      <c r="E41" s="35">
        <f>SUM(E42:E45)</f>
        <v>328026.3</v>
      </c>
      <c r="F41" s="35"/>
      <c r="G41" s="35"/>
      <c r="H41" s="35"/>
      <c r="I41" s="35">
        <f>SUM(I42:I45)</f>
        <v>320609.8</v>
      </c>
      <c r="J41" s="35">
        <f t="shared" si="28"/>
        <v>-7416.5</v>
      </c>
      <c r="K41" s="35">
        <f t="shared" si="1"/>
        <v>12295.799999999988</v>
      </c>
      <c r="L41" s="36">
        <f>I41/E41</f>
        <v>0.97739053240548091</v>
      </c>
      <c r="M41" s="36">
        <f>I41/C41</f>
        <v>1.0398807709023916</v>
      </c>
      <c r="N41" s="37"/>
      <c r="O41" s="74">
        <f t="shared" si="2"/>
        <v>12295.799999999988</v>
      </c>
      <c r="P41" s="75">
        <f t="shared" si="3"/>
        <v>3.9880770902391678E-2</v>
      </c>
    </row>
    <row r="42" spans="1:16" s="56" customFormat="1" ht="15" customHeight="1" x14ac:dyDescent="0.25">
      <c r="A42" s="11" t="s">
        <v>142</v>
      </c>
      <c r="B42" s="8" t="s">
        <v>146</v>
      </c>
      <c r="C42" s="13">
        <f>'[1]Таблица 3'!$I$40</f>
        <v>58847.3</v>
      </c>
      <c r="D42" s="13">
        <v>51060.800000000003</v>
      </c>
      <c r="E42" s="21">
        <v>60391.9</v>
      </c>
      <c r="F42" s="13"/>
      <c r="G42" s="13"/>
      <c r="H42" s="13"/>
      <c r="I42" s="13">
        <v>59721.7</v>
      </c>
      <c r="J42" s="13">
        <f t="shared" si="28"/>
        <v>-670.20000000000437</v>
      </c>
      <c r="K42" s="13">
        <f t="shared" si="1"/>
        <v>874.39999999999418</v>
      </c>
      <c r="L42" s="26">
        <f>I42/E42</f>
        <v>0.98890248526706392</v>
      </c>
      <c r="M42" s="26">
        <f>I42/C42</f>
        <v>1.0148587955607138</v>
      </c>
      <c r="N42" s="1"/>
      <c r="O42" s="74">
        <f t="shared" si="2"/>
        <v>874.39999999999418</v>
      </c>
      <c r="P42" s="75">
        <f t="shared" si="3"/>
        <v>1.4858795560713817E-2</v>
      </c>
    </row>
    <row r="43" spans="1:16" s="56" customFormat="1" ht="15" customHeight="1" x14ac:dyDescent="0.25">
      <c r="A43" s="11" t="s">
        <v>143</v>
      </c>
      <c r="B43" s="8" t="s">
        <v>147</v>
      </c>
      <c r="C43" s="13">
        <f>'[1]Таблица 3'!$I$41</f>
        <v>229863.6</v>
      </c>
      <c r="D43" s="13">
        <v>253727.4</v>
      </c>
      <c r="E43" s="13">
        <v>241805.1</v>
      </c>
      <c r="F43" s="13"/>
      <c r="G43" s="13"/>
      <c r="H43" s="13"/>
      <c r="I43" s="13">
        <v>239187.8</v>
      </c>
      <c r="J43" s="13">
        <f t="shared" si="28"/>
        <v>-2617.3000000000175</v>
      </c>
      <c r="K43" s="13">
        <f t="shared" si="1"/>
        <v>9324.1999999999825</v>
      </c>
      <c r="L43" s="26">
        <f t="shared" ref="L43:L45" si="29">I43/E43</f>
        <v>0.98917599339302598</v>
      </c>
      <c r="M43" s="26">
        <f t="shared" ref="M43:M45" si="30">I43/C43</f>
        <v>1.0405640562490102</v>
      </c>
      <c r="N43" s="1"/>
      <c r="O43" s="74">
        <f t="shared" si="2"/>
        <v>9324.1999999999825</v>
      </c>
      <c r="P43" s="75">
        <f t="shared" si="3"/>
        <v>4.0564056249010202E-2</v>
      </c>
    </row>
    <row r="44" spans="1:16" s="56" customFormat="1" ht="30" customHeight="1" x14ac:dyDescent="0.25">
      <c r="A44" s="11" t="s">
        <v>144</v>
      </c>
      <c r="B44" s="8" t="s">
        <v>148</v>
      </c>
      <c r="C44" s="13">
        <f>'[1]Таблица 3'!$I$42</f>
        <v>2984.3</v>
      </c>
      <c r="D44" s="13">
        <v>3659.8</v>
      </c>
      <c r="E44" s="13">
        <v>3578.3</v>
      </c>
      <c r="F44" s="13"/>
      <c r="G44" s="13"/>
      <c r="H44" s="13"/>
      <c r="I44" s="13">
        <v>3530.2</v>
      </c>
      <c r="J44" s="13">
        <f t="shared" si="28"/>
        <v>-48.100000000000364</v>
      </c>
      <c r="K44" s="13">
        <f t="shared" si="1"/>
        <v>545.89999999999964</v>
      </c>
      <c r="L44" s="26">
        <f t="shared" si="29"/>
        <v>0.98655786267221857</v>
      </c>
      <c r="M44" s="26">
        <f t="shared" si="30"/>
        <v>1.1829239687698956</v>
      </c>
      <c r="N44" s="1"/>
      <c r="O44" s="74">
        <f t="shared" si="2"/>
        <v>545.89999999999964</v>
      </c>
      <c r="P44" s="75">
        <f t="shared" si="3"/>
        <v>0.18292396876989567</v>
      </c>
    </row>
    <row r="45" spans="1:16" s="56" customFormat="1" ht="15" customHeight="1" x14ac:dyDescent="0.25">
      <c r="A45" s="11" t="s">
        <v>145</v>
      </c>
      <c r="B45" s="8" t="s">
        <v>149</v>
      </c>
      <c r="C45" s="13">
        <f>'[1]Таблица 3'!$I$43</f>
        <v>16618.8</v>
      </c>
      <c r="D45" s="13">
        <v>22208.6</v>
      </c>
      <c r="E45" s="13">
        <v>22251</v>
      </c>
      <c r="F45" s="13"/>
      <c r="G45" s="13"/>
      <c r="H45" s="13"/>
      <c r="I45" s="13">
        <v>18170.099999999999</v>
      </c>
      <c r="J45" s="13">
        <f t="shared" si="28"/>
        <v>-4080.9000000000015</v>
      </c>
      <c r="K45" s="13">
        <f t="shared" si="1"/>
        <v>1551.2999999999993</v>
      </c>
      <c r="L45" s="26">
        <f t="shared" si="29"/>
        <v>0.81659700687609538</v>
      </c>
      <c r="M45" s="26">
        <f t="shared" si="30"/>
        <v>1.0933460899703948</v>
      </c>
      <c r="N45" s="1"/>
      <c r="O45" s="74">
        <f t="shared" si="2"/>
        <v>1551.2999999999993</v>
      </c>
      <c r="P45" s="75">
        <f t="shared" si="3"/>
        <v>9.3346089970394938E-2</v>
      </c>
    </row>
    <row r="46" spans="1:16" s="38" customFormat="1" ht="30" customHeight="1" x14ac:dyDescent="0.25">
      <c r="A46" s="52" t="s">
        <v>150</v>
      </c>
      <c r="B46" s="34" t="s">
        <v>152</v>
      </c>
      <c r="C46" s="35">
        <f>C47</f>
        <v>18800.099999999999</v>
      </c>
      <c r="D46" s="35">
        <f>D47</f>
        <v>19394.400000000001</v>
      </c>
      <c r="E46" s="35">
        <f>E47</f>
        <v>18293.7</v>
      </c>
      <c r="F46" s="35"/>
      <c r="G46" s="35"/>
      <c r="H46" s="35"/>
      <c r="I46" s="35">
        <f>I47</f>
        <v>18270.3</v>
      </c>
      <c r="J46" s="35">
        <f t="shared" ref="J46:J47" si="31">I46-E46</f>
        <v>-23.400000000001455</v>
      </c>
      <c r="K46" s="35">
        <f t="shared" si="1"/>
        <v>-529.79999999999927</v>
      </c>
      <c r="L46" s="36">
        <f>I46/E46</f>
        <v>0.99872087111956565</v>
      </c>
      <c r="M46" s="36">
        <f>I46/C46</f>
        <v>0.97181929883351692</v>
      </c>
      <c r="N46" s="37"/>
      <c r="O46" s="74">
        <f t="shared" si="2"/>
        <v>-529.79999999999927</v>
      </c>
      <c r="P46" s="75">
        <f t="shared" si="3"/>
        <v>-2.8180701166483121E-2</v>
      </c>
    </row>
    <row r="47" spans="1:16" s="56" customFormat="1" ht="15" customHeight="1" x14ac:dyDescent="0.25">
      <c r="A47" s="11" t="s">
        <v>151</v>
      </c>
      <c r="B47" s="8" t="s">
        <v>153</v>
      </c>
      <c r="C47" s="13">
        <f>'[1]Таблица 3'!$I$47</f>
        <v>18800.099999999999</v>
      </c>
      <c r="D47" s="13">
        <v>19394.400000000001</v>
      </c>
      <c r="E47" s="13">
        <v>18293.7</v>
      </c>
      <c r="F47" s="13"/>
      <c r="G47" s="13"/>
      <c r="H47" s="13"/>
      <c r="I47" s="13">
        <v>18270.3</v>
      </c>
      <c r="J47" s="13">
        <f t="shared" si="31"/>
        <v>-23.400000000001455</v>
      </c>
      <c r="K47" s="13">
        <f t="shared" si="1"/>
        <v>-529.79999999999927</v>
      </c>
      <c r="L47" s="26">
        <f>I47/E47</f>
        <v>0.99872087111956565</v>
      </c>
      <c r="M47" s="26">
        <f>I47/C47</f>
        <v>0.97181929883351692</v>
      </c>
      <c r="N47" s="1"/>
      <c r="O47" s="74">
        <f t="shared" si="2"/>
        <v>-529.79999999999927</v>
      </c>
      <c r="P47" s="75">
        <f t="shared" si="3"/>
        <v>-2.8180701166483121E-2</v>
      </c>
    </row>
    <row r="48" spans="1:16" s="38" customFormat="1" ht="15" customHeight="1" x14ac:dyDescent="0.25">
      <c r="A48" s="52" t="s">
        <v>155</v>
      </c>
      <c r="B48" s="34" t="s">
        <v>154</v>
      </c>
      <c r="C48" s="35">
        <f>SUM(C49:C53)</f>
        <v>67730.599999999991</v>
      </c>
      <c r="D48" s="35">
        <f>SUM(D49:D53)</f>
        <v>65231.7</v>
      </c>
      <c r="E48" s="35">
        <f>SUM(E49:E53)</f>
        <v>60516.600000000006</v>
      </c>
      <c r="F48" s="35"/>
      <c r="G48" s="35"/>
      <c r="H48" s="35"/>
      <c r="I48" s="35">
        <f>SUM(I49:I53)</f>
        <v>58165</v>
      </c>
      <c r="J48" s="35">
        <f t="shared" ref="J48:J56" si="32">I48-E48</f>
        <v>-2351.6000000000058</v>
      </c>
      <c r="K48" s="35">
        <f t="shared" si="1"/>
        <v>-9565.5999999999913</v>
      </c>
      <c r="L48" s="36">
        <f>I48/E48</f>
        <v>0.96114124058522776</v>
      </c>
      <c r="M48" s="36">
        <f>I48/C48</f>
        <v>0.85876989130466885</v>
      </c>
      <c r="N48" s="37"/>
      <c r="O48" s="74">
        <f t="shared" si="2"/>
        <v>-9565.5999999999913</v>
      </c>
      <c r="P48" s="75">
        <f t="shared" si="3"/>
        <v>-0.14123010869533109</v>
      </c>
    </row>
    <row r="49" spans="1:16" s="56" customFormat="1" ht="15" customHeight="1" x14ac:dyDescent="0.25">
      <c r="A49" s="11" t="s">
        <v>156</v>
      </c>
      <c r="B49" s="8" t="s">
        <v>161</v>
      </c>
      <c r="C49" s="13">
        <f>'[1]Таблица 3'!$I$55</f>
        <v>704.1</v>
      </c>
      <c r="D49" s="13">
        <f>E49</f>
        <v>915.7</v>
      </c>
      <c r="E49" s="13">
        <v>915.7</v>
      </c>
      <c r="F49" s="13"/>
      <c r="G49" s="13"/>
      <c r="H49" s="13"/>
      <c r="I49" s="21">
        <v>751.8</v>
      </c>
      <c r="J49" s="13">
        <f t="shared" si="32"/>
        <v>-163.90000000000009</v>
      </c>
      <c r="K49" s="13">
        <f t="shared" si="1"/>
        <v>47.699999999999932</v>
      </c>
      <c r="L49" s="26">
        <f>I49/E49</f>
        <v>0.82101124822540128</v>
      </c>
      <c r="M49" s="26">
        <f>I49/C49</f>
        <v>1.067746058798466</v>
      </c>
      <c r="N49" s="1"/>
      <c r="O49" s="74">
        <f t="shared" si="2"/>
        <v>47.699999999999932</v>
      </c>
      <c r="P49" s="75">
        <f t="shared" si="3"/>
        <v>6.7746058798466027E-2</v>
      </c>
    </row>
    <row r="50" spans="1:16" s="56" customFormat="1" ht="15" customHeight="1" x14ac:dyDescent="0.25">
      <c r="A50" s="11" t="s">
        <v>157</v>
      </c>
      <c r="B50" s="8" t="s">
        <v>162</v>
      </c>
      <c r="C50" s="13">
        <f>'[1]Таблица 3'!$I$56</f>
        <v>17248.8</v>
      </c>
      <c r="D50" s="13">
        <v>19732.3</v>
      </c>
      <c r="E50" s="13">
        <v>19278.3</v>
      </c>
      <c r="F50" s="13"/>
      <c r="G50" s="13"/>
      <c r="H50" s="13"/>
      <c r="I50" s="13">
        <f>E50</f>
        <v>19278.3</v>
      </c>
      <c r="J50" s="13">
        <f t="shared" si="32"/>
        <v>0</v>
      </c>
      <c r="K50" s="13">
        <f t="shared" si="1"/>
        <v>2029.5</v>
      </c>
      <c r="L50" s="26">
        <f t="shared" ref="L50:L53" si="33">I50/E50</f>
        <v>1</v>
      </c>
      <c r="M50" s="26">
        <f t="shared" ref="M50:M53" si="34">I50/C50</f>
        <v>1.1176603589814944</v>
      </c>
      <c r="N50" s="1"/>
      <c r="O50" s="74">
        <f t="shared" si="2"/>
        <v>2029.5</v>
      </c>
      <c r="P50" s="75">
        <f t="shared" si="3"/>
        <v>0.11766035898149436</v>
      </c>
    </row>
    <row r="51" spans="1:16" s="56" customFormat="1" ht="15" customHeight="1" x14ac:dyDescent="0.25">
      <c r="A51" s="11" t="s">
        <v>158</v>
      </c>
      <c r="B51" s="8" t="s">
        <v>164</v>
      </c>
      <c r="C51" s="13">
        <f>'[1]Таблица 3'!$I$57</f>
        <v>22284.7</v>
      </c>
      <c r="D51" s="13">
        <v>7275.5</v>
      </c>
      <c r="E51" s="13">
        <v>9895</v>
      </c>
      <c r="F51" s="13"/>
      <c r="G51" s="13"/>
      <c r="H51" s="13"/>
      <c r="I51" s="13">
        <v>7940.8</v>
      </c>
      <c r="J51" s="13">
        <f t="shared" si="32"/>
        <v>-1954.1999999999998</v>
      </c>
      <c r="K51" s="13">
        <f t="shared" si="1"/>
        <v>-14343.900000000001</v>
      </c>
      <c r="L51" s="26">
        <f t="shared" si="33"/>
        <v>0.80250631632137448</v>
      </c>
      <c r="M51" s="26">
        <f t="shared" si="34"/>
        <v>0.35633416649091082</v>
      </c>
      <c r="N51" s="1"/>
      <c r="O51" s="74">
        <f t="shared" si="2"/>
        <v>-14343.900000000001</v>
      </c>
      <c r="P51" s="75">
        <f t="shared" si="3"/>
        <v>-0.64366583350908924</v>
      </c>
    </row>
    <row r="52" spans="1:16" s="56" customFormat="1" ht="15" customHeight="1" x14ac:dyDescent="0.25">
      <c r="A52" s="11" t="s">
        <v>159</v>
      </c>
      <c r="B52" s="8" t="s">
        <v>163</v>
      </c>
      <c r="C52" s="13">
        <f>'[1]Таблица 3'!$I$58</f>
        <v>27215.8</v>
      </c>
      <c r="D52" s="13">
        <v>34338.199999999997</v>
      </c>
      <c r="E52" s="13">
        <v>28801.8</v>
      </c>
      <c r="F52" s="13"/>
      <c r="G52" s="13"/>
      <c r="H52" s="13"/>
      <c r="I52" s="13">
        <f>E52</f>
        <v>28801.8</v>
      </c>
      <c r="J52" s="13">
        <f t="shared" si="32"/>
        <v>0</v>
      </c>
      <c r="K52" s="13">
        <f t="shared" si="1"/>
        <v>1586</v>
      </c>
      <c r="L52" s="26">
        <f t="shared" si="33"/>
        <v>1</v>
      </c>
      <c r="M52" s="26">
        <f t="shared" si="34"/>
        <v>1.0582749726261951</v>
      </c>
      <c r="N52" s="1"/>
      <c r="O52" s="74">
        <f t="shared" si="2"/>
        <v>1586</v>
      </c>
      <c r="P52" s="75">
        <f t="shared" si="3"/>
        <v>5.8274972626195076E-2</v>
      </c>
    </row>
    <row r="53" spans="1:16" s="56" customFormat="1" ht="30" customHeight="1" x14ac:dyDescent="0.25">
      <c r="A53" s="11" t="s">
        <v>160</v>
      </c>
      <c r="B53" s="8" t="s">
        <v>165</v>
      </c>
      <c r="C53" s="13">
        <f>'[1]Таблица 3'!$I$59</f>
        <v>277.2</v>
      </c>
      <c r="D53" s="13">
        <v>2970</v>
      </c>
      <c r="E53" s="13">
        <v>1625.8</v>
      </c>
      <c r="F53" s="13"/>
      <c r="G53" s="13"/>
      <c r="H53" s="13"/>
      <c r="I53" s="13">
        <v>1392.3</v>
      </c>
      <c r="J53" s="13">
        <f t="shared" si="32"/>
        <v>-233.5</v>
      </c>
      <c r="K53" s="13">
        <f t="shared" si="1"/>
        <v>1115.0999999999999</v>
      </c>
      <c r="L53" s="26">
        <f t="shared" si="33"/>
        <v>0.85637839832697749</v>
      </c>
      <c r="M53" s="26">
        <f t="shared" si="34"/>
        <v>5.0227272727272725</v>
      </c>
      <c r="N53" s="1"/>
      <c r="O53" s="74">
        <f t="shared" si="2"/>
        <v>1115.0999999999999</v>
      </c>
      <c r="P53" s="75">
        <f t="shared" si="3"/>
        <v>4.0227272727272725</v>
      </c>
    </row>
    <row r="54" spans="1:16" s="38" customFormat="1" ht="30" customHeight="1" x14ac:dyDescent="0.25">
      <c r="A54" s="52" t="s">
        <v>166</v>
      </c>
      <c r="B54" s="34" t="s">
        <v>169</v>
      </c>
      <c r="C54" s="35">
        <f>SUM(C55:C56)</f>
        <v>2821.2</v>
      </c>
      <c r="D54" s="35">
        <f>SUM(D55:D56)</f>
        <v>3481.7</v>
      </c>
      <c r="E54" s="35">
        <f>SUM(E55:E56)</f>
        <v>4381.7</v>
      </c>
      <c r="F54" s="35"/>
      <c r="G54" s="35"/>
      <c r="H54" s="35"/>
      <c r="I54" s="35">
        <f>SUM(I55:I56)</f>
        <v>4381.7</v>
      </c>
      <c r="J54" s="35">
        <f t="shared" si="32"/>
        <v>0</v>
      </c>
      <c r="K54" s="35">
        <f t="shared" si="1"/>
        <v>1560.5</v>
      </c>
      <c r="L54" s="36">
        <f>I54/E54</f>
        <v>1</v>
      </c>
      <c r="M54" s="36">
        <f>I54/C54</f>
        <v>1.5531334184035164</v>
      </c>
      <c r="N54" s="37"/>
      <c r="O54" s="74">
        <f t="shared" si="2"/>
        <v>1560.5</v>
      </c>
      <c r="P54" s="75">
        <f t="shared" si="3"/>
        <v>0.55313341840351626</v>
      </c>
    </row>
    <row r="55" spans="1:16" s="56" customFormat="1" ht="15" customHeight="1" x14ac:dyDescent="0.25">
      <c r="A55" s="29" t="s">
        <v>167</v>
      </c>
      <c r="B55" s="59" t="s">
        <v>170</v>
      </c>
      <c r="C55" s="58">
        <f>'[1]Таблица 3'!$I$61</f>
        <v>2071.1999999999998</v>
      </c>
      <c r="D55" s="58">
        <v>2631.7</v>
      </c>
      <c r="E55" s="58">
        <v>3531.7</v>
      </c>
      <c r="F55" s="58"/>
      <c r="G55" s="13"/>
      <c r="H55" s="13"/>
      <c r="I55" s="58">
        <f>E55</f>
        <v>3531.7</v>
      </c>
      <c r="J55" s="13">
        <f t="shared" si="32"/>
        <v>0</v>
      </c>
      <c r="K55" s="13">
        <f t="shared" si="1"/>
        <v>1460.5</v>
      </c>
      <c r="L55" s="26">
        <f>I55/E55</f>
        <v>1</v>
      </c>
      <c r="M55" s="26">
        <f>I55/C55</f>
        <v>1.7051467748165317</v>
      </c>
      <c r="N55" s="1"/>
      <c r="O55" s="74">
        <f t="shared" si="2"/>
        <v>1460.5</v>
      </c>
      <c r="P55" s="75">
        <f t="shared" si="3"/>
        <v>0.70514677481653154</v>
      </c>
    </row>
    <row r="56" spans="1:16" s="56" customFormat="1" ht="15" customHeight="1" x14ac:dyDescent="0.25">
      <c r="A56" s="29" t="s">
        <v>168</v>
      </c>
      <c r="B56" s="59" t="s">
        <v>171</v>
      </c>
      <c r="C56" s="58">
        <f>'[1]Таблица 3'!$I$62</f>
        <v>750</v>
      </c>
      <c r="D56" s="58">
        <f>E56</f>
        <v>850</v>
      </c>
      <c r="E56" s="58">
        <v>850</v>
      </c>
      <c r="F56" s="58"/>
      <c r="G56" s="13"/>
      <c r="H56" s="13"/>
      <c r="I56" s="58">
        <f>E56</f>
        <v>850</v>
      </c>
      <c r="J56" s="13">
        <f t="shared" si="32"/>
        <v>0</v>
      </c>
      <c r="K56" s="13">
        <f t="shared" si="1"/>
        <v>100</v>
      </c>
      <c r="L56" s="26">
        <f t="shared" ref="L56" si="35">I56/E56</f>
        <v>1</v>
      </c>
      <c r="M56" s="26">
        <f t="shared" ref="M56" si="36">I56/C56</f>
        <v>1.1333333333333333</v>
      </c>
      <c r="N56" s="1"/>
      <c r="O56" s="74">
        <f t="shared" si="2"/>
        <v>100</v>
      </c>
      <c r="P56" s="75">
        <f t="shared" si="3"/>
        <v>0.13333333333333333</v>
      </c>
    </row>
    <row r="57" spans="1:16" s="38" customFormat="1" ht="75" customHeight="1" x14ac:dyDescent="0.25">
      <c r="A57" s="52" t="s">
        <v>172</v>
      </c>
      <c r="B57" s="34" t="s">
        <v>176</v>
      </c>
      <c r="C57" s="35">
        <f>SUM(C58:C59)</f>
        <v>105559.90000000001</v>
      </c>
      <c r="D57" s="35">
        <f>SUM(D58:D59)</f>
        <v>101756.1</v>
      </c>
      <c r="E57" s="35">
        <f>SUM(E58:E59)</f>
        <v>112016.90000000001</v>
      </c>
      <c r="F57" s="35"/>
      <c r="G57" s="35"/>
      <c r="H57" s="35"/>
      <c r="I57" s="35">
        <f>SUM(I58:I59)</f>
        <v>111989.1</v>
      </c>
      <c r="J57" s="35">
        <f t="shared" ref="J57:J59" si="37">I57-E57</f>
        <v>-27.80000000000291</v>
      </c>
      <c r="K57" s="35">
        <f t="shared" si="1"/>
        <v>6429.1999999999971</v>
      </c>
      <c r="L57" s="36">
        <f>I57/E57</f>
        <v>0.99975182316239775</v>
      </c>
      <c r="M57" s="36">
        <f>I57/C57</f>
        <v>1.060905703775771</v>
      </c>
      <c r="N57" s="37"/>
      <c r="O57" s="74">
        <f t="shared" si="2"/>
        <v>6429.1999999999971</v>
      </c>
      <c r="P57" s="75">
        <f t="shared" si="3"/>
        <v>6.0905703775770884E-2</v>
      </c>
    </row>
    <row r="58" spans="1:16" s="56" customFormat="1" ht="45" customHeight="1" x14ac:dyDescent="0.25">
      <c r="A58" s="29" t="s">
        <v>173</v>
      </c>
      <c r="B58" s="59" t="s">
        <v>175</v>
      </c>
      <c r="C58" s="58">
        <f>'[1]Таблица 3'!$I$64</f>
        <v>83565.600000000006</v>
      </c>
      <c r="D58" s="58">
        <f>E58</f>
        <v>97301.6</v>
      </c>
      <c r="E58" s="58">
        <v>97301.6</v>
      </c>
      <c r="F58" s="58"/>
      <c r="G58" s="13"/>
      <c r="H58" s="13"/>
      <c r="I58" s="58">
        <f>E58</f>
        <v>97301.6</v>
      </c>
      <c r="J58" s="13">
        <f t="shared" si="37"/>
        <v>0</v>
      </c>
      <c r="K58" s="13">
        <f t="shared" si="1"/>
        <v>13736</v>
      </c>
      <c r="L58" s="26">
        <f>I58/E58</f>
        <v>1</v>
      </c>
      <c r="M58" s="26">
        <f>I58/C58</f>
        <v>1.1643738571852533</v>
      </c>
      <c r="N58" s="1"/>
      <c r="O58" s="74">
        <f t="shared" si="2"/>
        <v>13736</v>
      </c>
      <c r="P58" s="75">
        <f t="shared" si="3"/>
        <v>0.16437385718525324</v>
      </c>
    </row>
    <row r="59" spans="1:16" s="56" customFormat="1" ht="30" customHeight="1" x14ac:dyDescent="0.25">
      <c r="A59" s="29" t="s">
        <v>174</v>
      </c>
      <c r="B59" s="59" t="s">
        <v>177</v>
      </c>
      <c r="C59" s="58">
        <f>'[1]Таблица 3'!$I$65</f>
        <v>21994.3</v>
      </c>
      <c r="D59" s="58">
        <v>4454.5</v>
      </c>
      <c r="E59" s="58">
        <v>14715.3</v>
      </c>
      <c r="F59" s="58"/>
      <c r="G59" s="13"/>
      <c r="H59" s="13"/>
      <c r="I59" s="78">
        <v>14687.5</v>
      </c>
      <c r="J59" s="13">
        <f t="shared" si="37"/>
        <v>-27.799999999999272</v>
      </c>
      <c r="K59" s="13">
        <f t="shared" si="1"/>
        <v>-7306.7999999999993</v>
      </c>
      <c r="L59" s="26">
        <f t="shared" ref="L59" si="38">I59/E59</f>
        <v>0.99811080983738021</v>
      </c>
      <c r="M59" s="26">
        <f t="shared" ref="M59" si="39">I59/C59</f>
        <v>0.66778665381485203</v>
      </c>
      <c r="N59" s="1"/>
      <c r="O59" s="74">
        <f t="shared" si="2"/>
        <v>-7306.7999999999993</v>
      </c>
      <c r="P59" s="75">
        <f t="shared" si="3"/>
        <v>-0.33221334618514797</v>
      </c>
    </row>
  </sheetData>
  <mergeCells count="3">
    <mergeCell ref="A3:M3"/>
    <mergeCell ref="K5:M5"/>
    <mergeCell ref="J1:M1"/>
  </mergeCells>
  <pageMargins left="0.59055118110236227" right="0.59055118110236227" top="0.78740157480314965" bottom="0.59055118110236227" header="0.31496062992125984" footer="0.31496062992125984"/>
  <pageSetup paperSize="9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opLeftCell="A6" workbookViewId="0"/>
  </sheetViews>
  <sheetFormatPr defaultRowHeight="15" x14ac:dyDescent="0.25"/>
  <cols>
    <col min="1" max="1" width="10.7109375" style="55" customWidth="1"/>
    <col min="2" max="4" width="11.7109375" customWidth="1"/>
    <col min="5" max="5" width="10.7109375" customWidth="1"/>
    <col min="6" max="6" width="10.28515625" customWidth="1"/>
    <col min="7" max="7" width="10.7109375" customWidth="1"/>
    <col min="8" max="8" width="10.28515625" customWidth="1"/>
    <col min="9" max="10" width="10.7109375" customWidth="1"/>
  </cols>
  <sheetData>
    <row r="1" spans="1:10" ht="15.75" customHeight="1" x14ac:dyDescent="0.25">
      <c r="A1" s="20"/>
      <c r="B1" s="1"/>
      <c r="C1" s="1"/>
      <c r="D1" s="1"/>
      <c r="E1" s="119" t="s">
        <v>183</v>
      </c>
      <c r="F1" s="119"/>
      <c r="G1" s="119"/>
      <c r="H1" s="119"/>
      <c r="I1" s="1"/>
      <c r="J1" s="1"/>
    </row>
    <row r="2" spans="1:10" ht="15.75" customHeight="1" x14ac:dyDescent="0.25">
      <c r="A2" s="20"/>
      <c r="B2" s="1"/>
      <c r="C2" s="1"/>
      <c r="D2" s="1"/>
      <c r="E2" s="85"/>
      <c r="F2" s="108"/>
      <c r="G2" s="85"/>
      <c r="H2" s="85"/>
      <c r="I2" s="1"/>
      <c r="J2" s="1"/>
    </row>
    <row r="3" spans="1:10" ht="15.75" customHeight="1" x14ac:dyDescent="0.25">
      <c r="A3" s="20"/>
      <c r="B3" s="1"/>
      <c r="C3" s="1"/>
      <c r="D3" s="1"/>
      <c r="E3" s="85"/>
      <c r="F3" s="108"/>
      <c r="G3" s="85"/>
      <c r="H3" s="85"/>
      <c r="I3" s="1"/>
      <c r="J3" s="1"/>
    </row>
    <row r="4" spans="1:10" ht="15.75" customHeight="1" x14ac:dyDescent="0.25">
      <c r="A4" s="20"/>
      <c r="B4" s="1"/>
      <c r="C4" s="1"/>
      <c r="D4" s="1"/>
      <c r="E4" s="1"/>
      <c r="F4" s="1"/>
      <c r="G4" s="1"/>
      <c r="H4" s="1"/>
      <c r="I4" s="1"/>
      <c r="J4" s="1"/>
    </row>
    <row r="5" spans="1:10" ht="36" customHeight="1" x14ac:dyDescent="0.25">
      <c r="A5" s="120" t="s">
        <v>244</v>
      </c>
      <c r="B5" s="120"/>
      <c r="C5" s="120"/>
      <c r="D5" s="120"/>
      <c r="E5" s="120"/>
      <c r="F5" s="120"/>
      <c r="G5" s="120"/>
      <c r="H5" s="120"/>
      <c r="I5" s="1"/>
      <c r="J5" s="1"/>
    </row>
    <row r="6" spans="1:10" ht="9" customHeight="1" x14ac:dyDescent="0.25">
      <c r="A6" s="20"/>
      <c r="B6" s="1"/>
      <c r="C6" s="1"/>
      <c r="D6" s="1"/>
      <c r="E6" s="1"/>
      <c r="F6" s="1"/>
      <c r="G6" s="1"/>
      <c r="H6" s="1"/>
      <c r="I6" s="1"/>
      <c r="J6" s="1"/>
    </row>
    <row r="7" spans="1:10" s="3" customFormat="1" ht="20.100000000000001" customHeight="1" x14ac:dyDescent="0.2">
      <c r="A7" s="53"/>
      <c r="B7" s="2"/>
      <c r="C7" s="2"/>
      <c r="D7" s="2"/>
      <c r="E7" s="2"/>
      <c r="F7" s="2"/>
      <c r="G7" s="118" t="s">
        <v>213</v>
      </c>
      <c r="H7" s="118"/>
      <c r="I7" s="2"/>
      <c r="J7" s="2"/>
    </row>
    <row r="8" spans="1:10" s="17" customFormat="1" ht="75" customHeight="1" x14ac:dyDescent="0.2">
      <c r="A8" s="68" t="s">
        <v>195</v>
      </c>
      <c r="B8" s="86" t="s">
        <v>216</v>
      </c>
      <c r="C8" s="68" t="s">
        <v>243</v>
      </c>
      <c r="D8" s="68" t="s">
        <v>227</v>
      </c>
      <c r="E8" s="18" t="s">
        <v>187</v>
      </c>
      <c r="F8" s="18" t="s">
        <v>228</v>
      </c>
      <c r="G8" s="18" t="s">
        <v>245</v>
      </c>
      <c r="H8" s="18" t="s">
        <v>246</v>
      </c>
      <c r="I8" s="16"/>
      <c r="J8" s="16"/>
    </row>
    <row r="9" spans="1:10" s="17" customFormat="1" ht="15" customHeight="1" x14ac:dyDescent="0.2">
      <c r="A9" s="68">
        <v>1</v>
      </c>
      <c r="B9" s="68">
        <v>2</v>
      </c>
      <c r="C9" s="18">
        <v>3</v>
      </c>
      <c r="D9" s="18">
        <v>4</v>
      </c>
      <c r="E9" s="18">
        <v>5</v>
      </c>
      <c r="F9" s="18">
        <v>7</v>
      </c>
      <c r="G9" s="18">
        <v>6</v>
      </c>
      <c r="H9" s="18">
        <v>8</v>
      </c>
      <c r="I9" s="16"/>
      <c r="J9" s="16"/>
    </row>
    <row r="10" spans="1:10" s="56" customFormat="1" ht="24.95" customHeight="1" x14ac:dyDescent="0.25">
      <c r="A10" s="11" t="s">
        <v>196</v>
      </c>
      <c r="B10" s="70">
        <f>'[1]Таблица 4'!$G$8</f>
        <v>199394.1</v>
      </c>
      <c r="C10" s="79">
        <v>207056.7</v>
      </c>
      <c r="D10" s="79">
        <v>206054.5</v>
      </c>
      <c r="E10" s="70">
        <f>D10-C10</f>
        <v>-1002.2000000000116</v>
      </c>
      <c r="F10" s="72">
        <f>D10/C10</f>
        <v>0.99515977990569726</v>
      </c>
      <c r="G10" s="70">
        <f>D10-B10</f>
        <v>6660.3999999999942</v>
      </c>
      <c r="H10" s="72">
        <f t="shared" ref="H10:H27" si="0">D10/B10</f>
        <v>1.0334031949791895</v>
      </c>
      <c r="I10" s="1"/>
      <c r="J10" s="1"/>
    </row>
    <row r="11" spans="1:10" s="56" customFormat="1" ht="24.95" customHeight="1" x14ac:dyDescent="0.25">
      <c r="A11" s="11" t="s">
        <v>197</v>
      </c>
      <c r="B11" s="70">
        <f>'[1]Таблица 4'!$G$9</f>
        <v>563.5</v>
      </c>
      <c r="C11" s="79">
        <v>159.1</v>
      </c>
      <c r="D11" s="79">
        <v>131.6</v>
      </c>
      <c r="E11" s="70">
        <f t="shared" ref="E11:E26" si="1">D11-C11</f>
        <v>-27.5</v>
      </c>
      <c r="F11" s="72">
        <f t="shared" ref="F11:F26" si="2">D11/C11</f>
        <v>0.82715273412947832</v>
      </c>
      <c r="G11" s="70">
        <f t="shared" ref="G11:G26" si="3">D11-B11</f>
        <v>-431.9</v>
      </c>
      <c r="H11" s="72">
        <f t="shared" si="0"/>
        <v>0.23354037267080743</v>
      </c>
      <c r="I11" s="1"/>
      <c r="J11" s="1"/>
    </row>
    <row r="12" spans="1:10" s="56" customFormat="1" ht="24.95" customHeight="1" x14ac:dyDescent="0.25">
      <c r="A12" s="11" t="s">
        <v>198</v>
      </c>
      <c r="B12" s="70">
        <f>'[1]Таблица 4'!$G$10</f>
        <v>58465.4</v>
      </c>
      <c r="C12" s="79">
        <v>61867</v>
      </c>
      <c r="D12" s="79">
        <v>60324.3</v>
      </c>
      <c r="E12" s="70">
        <f t="shared" si="1"/>
        <v>-1542.6999999999971</v>
      </c>
      <c r="F12" s="72">
        <f t="shared" si="2"/>
        <v>0.97506425073140779</v>
      </c>
      <c r="G12" s="70">
        <f t="shared" si="3"/>
        <v>1858.9000000000015</v>
      </c>
      <c r="H12" s="72">
        <f t="shared" si="0"/>
        <v>1.031794873549142</v>
      </c>
      <c r="I12" s="1"/>
      <c r="J12" s="1"/>
    </row>
    <row r="13" spans="1:10" s="56" customFormat="1" ht="24.95" customHeight="1" x14ac:dyDescent="0.25">
      <c r="A13" s="11" t="s">
        <v>199</v>
      </c>
      <c r="B13" s="70">
        <f>'[1]Таблица 4'!$G$11</f>
        <v>2091.9</v>
      </c>
      <c r="C13" s="79">
        <v>2067.8000000000002</v>
      </c>
      <c r="D13" s="79">
        <v>1967.7</v>
      </c>
      <c r="E13" s="70">
        <f t="shared" si="1"/>
        <v>-100.10000000000014</v>
      </c>
      <c r="F13" s="72">
        <f t="shared" si="2"/>
        <v>0.95159106296547047</v>
      </c>
      <c r="G13" s="70">
        <f t="shared" si="3"/>
        <v>-124.20000000000005</v>
      </c>
      <c r="H13" s="72">
        <f t="shared" si="0"/>
        <v>0.94062813710024373</v>
      </c>
      <c r="I13" s="1"/>
      <c r="J13" s="1"/>
    </row>
    <row r="14" spans="1:10" s="56" customFormat="1" ht="24.95" customHeight="1" x14ac:dyDescent="0.25">
      <c r="A14" s="11" t="s">
        <v>200</v>
      </c>
      <c r="B14" s="70">
        <f>'[1]Таблица 4'!$G$12</f>
        <v>355.2</v>
      </c>
      <c r="C14" s="79">
        <v>364.5</v>
      </c>
      <c r="D14" s="79">
        <v>331.1</v>
      </c>
      <c r="E14" s="70">
        <f t="shared" si="1"/>
        <v>-33.399999999999977</v>
      </c>
      <c r="F14" s="72">
        <f t="shared" si="2"/>
        <v>0.90836762688614547</v>
      </c>
      <c r="G14" s="70">
        <f t="shared" si="3"/>
        <v>-24.099999999999966</v>
      </c>
      <c r="H14" s="72">
        <f t="shared" si="0"/>
        <v>0.93215090090090102</v>
      </c>
      <c r="I14" s="1"/>
      <c r="J14" s="1"/>
    </row>
    <row r="15" spans="1:10" s="56" customFormat="1" ht="24.95" customHeight="1" x14ac:dyDescent="0.25">
      <c r="A15" s="11" t="s">
        <v>201</v>
      </c>
      <c r="B15" s="70">
        <f>'[1]Таблица 4'!$G$13</f>
        <v>18865.2</v>
      </c>
      <c r="C15" s="79">
        <v>19521.5</v>
      </c>
      <c r="D15" s="79">
        <v>19353.099999999999</v>
      </c>
      <c r="E15" s="70">
        <f t="shared" si="1"/>
        <v>-168.40000000000146</v>
      </c>
      <c r="F15" s="72">
        <f t="shared" si="2"/>
        <v>0.99137361370796295</v>
      </c>
      <c r="G15" s="70">
        <f t="shared" si="3"/>
        <v>487.89999999999782</v>
      </c>
      <c r="H15" s="72">
        <f t="shared" si="0"/>
        <v>1.0258624345355467</v>
      </c>
      <c r="I15" s="1"/>
      <c r="J15" s="1"/>
    </row>
    <row r="16" spans="1:10" s="56" customFormat="1" ht="24.95" customHeight="1" x14ac:dyDescent="0.25">
      <c r="A16" s="11" t="s">
        <v>202</v>
      </c>
      <c r="B16" s="70">
        <f>'[1]Таблица 4'!$G$14</f>
        <v>528</v>
      </c>
      <c r="C16" s="79">
        <v>650.4</v>
      </c>
      <c r="D16" s="79">
        <v>643.70000000000005</v>
      </c>
      <c r="E16" s="70">
        <f t="shared" si="1"/>
        <v>-6.6999999999999318</v>
      </c>
      <c r="F16" s="72">
        <f t="shared" si="2"/>
        <v>0.98969864698646992</v>
      </c>
      <c r="G16" s="70">
        <f t="shared" si="3"/>
        <v>115.70000000000005</v>
      </c>
      <c r="H16" s="72">
        <f t="shared" si="0"/>
        <v>1.219128787878788</v>
      </c>
      <c r="I16" s="1"/>
      <c r="J16" s="1"/>
    </row>
    <row r="17" spans="1:10" s="56" customFormat="1" ht="24.95" customHeight="1" x14ac:dyDescent="0.25">
      <c r="A17" s="11" t="s">
        <v>203</v>
      </c>
      <c r="B17" s="70">
        <f>'[1]Таблица 4'!$G$15</f>
        <v>10504.1</v>
      </c>
      <c r="C17" s="79">
        <v>22386.400000000001</v>
      </c>
      <c r="D17" s="79">
        <v>16634.7</v>
      </c>
      <c r="E17" s="70">
        <f t="shared" si="1"/>
        <v>-5751.7000000000007</v>
      </c>
      <c r="F17" s="72">
        <f t="shared" si="2"/>
        <v>0.74307168638101706</v>
      </c>
      <c r="G17" s="70">
        <f t="shared" si="3"/>
        <v>6130.6</v>
      </c>
      <c r="H17" s="72">
        <f t="shared" si="0"/>
        <v>1.5836387696232899</v>
      </c>
      <c r="I17" s="1"/>
      <c r="J17" s="1"/>
    </row>
    <row r="18" spans="1:10" s="56" customFormat="1" ht="24.95" customHeight="1" x14ac:dyDescent="0.25">
      <c r="A18" s="11" t="s">
        <v>204</v>
      </c>
      <c r="B18" s="70">
        <f>'[1]Таблица 4'!$G$16</f>
        <v>20229.599999999999</v>
      </c>
      <c r="C18" s="79">
        <v>22766.3</v>
      </c>
      <c r="D18" s="79">
        <v>20089.599999999999</v>
      </c>
      <c r="E18" s="70">
        <f t="shared" si="1"/>
        <v>-2676.7000000000007</v>
      </c>
      <c r="F18" s="72">
        <f t="shared" si="2"/>
        <v>0.88242709619042181</v>
      </c>
      <c r="G18" s="70">
        <f t="shared" si="3"/>
        <v>-140</v>
      </c>
      <c r="H18" s="72">
        <f t="shared" si="0"/>
        <v>0.99307944793767544</v>
      </c>
      <c r="I18" s="1"/>
      <c r="J18" s="1"/>
    </row>
    <row r="19" spans="1:10" s="56" customFormat="1" ht="24.95" customHeight="1" x14ac:dyDescent="0.25">
      <c r="A19" s="11" t="s">
        <v>205</v>
      </c>
      <c r="B19" s="70">
        <f>'[1]Таблица 4'!$G$17</f>
        <v>47065</v>
      </c>
      <c r="C19" s="79">
        <v>55154.400000000001</v>
      </c>
      <c r="D19" s="79">
        <v>55028.2</v>
      </c>
      <c r="E19" s="70">
        <f t="shared" si="1"/>
        <v>-126.20000000000437</v>
      </c>
      <c r="F19" s="72">
        <f t="shared" si="2"/>
        <v>0.99771187792814342</v>
      </c>
      <c r="G19" s="70">
        <f t="shared" si="3"/>
        <v>7963.1999999999971</v>
      </c>
      <c r="H19" s="72">
        <f t="shared" si="0"/>
        <v>1.1691957930521619</v>
      </c>
      <c r="I19" s="1"/>
      <c r="J19" s="1"/>
    </row>
    <row r="20" spans="1:10" s="56" customFormat="1" ht="24.95" customHeight="1" x14ac:dyDescent="0.25">
      <c r="A20" s="11" t="s">
        <v>206</v>
      </c>
      <c r="B20" s="70">
        <f>'[1]Таблица 4'!$G$18</f>
        <v>3613.9</v>
      </c>
      <c r="C20" s="79">
        <v>1223.3</v>
      </c>
      <c r="D20" s="79">
        <v>1154.0999999999999</v>
      </c>
      <c r="E20" s="70">
        <f t="shared" si="1"/>
        <v>-69.200000000000045</v>
      </c>
      <c r="F20" s="72">
        <f t="shared" si="2"/>
        <v>0.94343170113627073</v>
      </c>
      <c r="G20" s="70">
        <f t="shared" si="3"/>
        <v>-2459.8000000000002</v>
      </c>
      <c r="H20" s="72">
        <f t="shared" si="0"/>
        <v>0.31935028639420016</v>
      </c>
      <c r="I20" s="1"/>
      <c r="J20" s="1"/>
    </row>
    <row r="21" spans="1:10" s="56" customFormat="1" ht="24.95" customHeight="1" x14ac:dyDescent="0.25">
      <c r="A21" s="11" t="s">
        <v>207</v>
      </c>
      <c r="B21" s="70">
        <f>'[1]Таблица 4'!$G$19</f>
        <v>126227.9</v>
      </c>
      <c r="C21" s="79">
        <v>165972.70000000001</v>
      </c>
      <c r="D21" s="79">
        <v>161534.79999999999</v>
      </c>
      <c r="E21" s="70">
        <f t="shared" si="1"/>
        <v>-4437.9000000000233</v>
      </c>
      <c r="F21" s="72">
        <f t="shared" si="2"/>
        <v>0.97326126525627399</v>
      </c>
      <c r="G21" s="70">
        <f t="shared" si="3"/>
        <v>35306.899999999994</v>
      </c>
      <c r="H21" s="72">
        <f t="shared" si="0"/>
        <v>1.2797075765341894</v>
      </c>
      <c r="I21" s="1"/>
      <c r="J21" s="1"/>
    </row>
    <row r="22" spans="1:10" s="56" customFormat="1" ht="24.95" customHeight="1" x14ac:dyDescent="0.25">
      <c r="A22" s="11" t="s">
        <v>208</v>
      </c>
      <c r="B22" s="70">
        <f>'[1]Таблица 4'!$G$20</f>
        <v>31048.6</v>
      </c>
      <c r="C22" s="79">
        <v>25425.1</v>
      </c>
      <c r="D22" s="79">
        <v>23470.9</v>
      </c>
      <c r="E22" s="70">
        <f t="shared" si="1"/>
        <v>-1954.1999999999971</v>
      </c>
      <c r="F22" s="72">
        <f t="shared" si="2"/>
        <v>0.92313894537287966</v>
      </c>
      <c r="G22" s="70">
        <f t="shared" si="3"/>
        <v>-7577.6999999999971</v>
      </c>
      <c r="H22" s="72">
        <f t="shared" si="0"/>
        <v>0.75594068653659108</v>
      </c>
      <c r="I22" s="1"/>
      <c r="J22" s="1"/>
    </row>
    <row r="23" spans="1:10" s="56" customFormat="1" ht="24.95" customHeight="1" x14ac:dyDescent="0.25">
      <c r="A23" s="11" t="s">
        <v>209</v>
      </c>
      <c r="B23" s="70">
        <f>'[1]Таблица 4'!$G$21</f>
        <v>704.1</v>
      </c>
      <c r="C23" s="79">
        <v>915.7</v>
      </c>
      <c r="D23" s="79">
        <v>751.8</v>
      </c>
      <c r="E23" s="70">
        <f t="shared" si="1"/>
        <v>-163.90000000000009</v>
      </c>
      <c r="F23" s="72">
        <f t="shared" si="2"/>
        <v>0.82101124822540128</v>
      </c>
      <c r="G23" s="70">
        <f t="shared" si="3"/>
        <v>47.699999999999932</v>
      </c>
      <c r="H23" s="72">
        <f t="shared" si="0"/>
        <v>1.067746058798466</v>
      </c>
      <c r="I23" s="1"/>
      <c r="J23" s="1"/>
    </row>
    <row r="24" spans="1:10" s="56" customFormat="1" ht="24.95" customHeight="1" x14ac:dyDescent="0.25">
      <c r="A24" s="11" t="s">
        <v>210</v>
      </c>
      <c r="B24" s="70">
        <f>'[1]Таблица 4'!$G$22</f>
        <v>8342.4</v>
      </c>
      <c r="C24" s="79">
        <v>9420.2000000000007</v>
      </c>
      <c r="D24" s="79">
        <v>7710.1</v>
      </c>
      <c r="E24" s="70">
        <f t="shared" si="1"/>
        <v>-1710.1000000000004</v>
      </c>
      <c r="F24" s="72">
        <f t="shared" si="2"/>
        <v>0.8184645761236492</v>
      </c>
      <c r="G24" s="70">
        <f t="shared" si="3"/>
        <v>-632.29999999999927</v>
      </c>
      <c r="H24" s="72">
        <f t="shared" si="0"/>
        <v>0.92420646336785583</v>
      </c>
      <c r="I24" s="1"/>
      <c r="J24" s="1"/>
    </row>
    <row r="25" spans="1:10" s="56" customFormat="1" ht="24.95" customHeight="1" x14ac:dyDescent="0.25">
      <c r="A25" s="11" t="s">
        <v>211</v>
      </c>
      <c r="B25" s="70">
        <f>'[1]Таблица 4'!$G$23</f>
        <v>53601.7</v>
      </c>
      <c r="C25" s="79">
        <v>63872.1</v>
      </c>
      <c r="D25" s="79">
        <v>59828</v>
      </c>
      <c r="E25" s="70">
        <f t="shared" si="1"/>
        <v>-4044.0999999999985</v>
      </c>
      <c r="F25" s="72">
        <f t="shared" si="2"/>
        <v>0.93668440524109908</v>
      </c>
      <c r="G25" s="70">
        <f t="shared" si="3"/>
        <v>6226.3000000000029</v>
      </c>
      <c r="H25" s="72">
        <f t="shared" si="0"/>
        <v>1.1161586292972052</v>
      </c>
      <c r="I25" s="1"/>
      <c r="J25" s="1"/>
    </row>
    <row r="26" spans="1:10" s="56" customFormat="1" ht="24.95" customHeight="1" x14ac:dyDescent="0.25">
      <c r="A26" s="11" t="s">
        <v>212</v>
      </c>
      <c r="B26" s="70">
        <f>'[1]Таблица 4'!$G$24</f>
        <v>27883.4</v>
      </c>
      <c r="C26" s="79">
        <v>29040.9</v>
      </c>
      <c r="D26" s="79">
        <v>28768.400000000001</v>
      </c>
      <c r="E26" s="70">
        <f t="shared" si="1"/>
        <v>-272.5</v>
      </c>
      <c r="F26" s="72">
        <f t="shared" si="2"/>
        <v>0.99061668198988329</v>
      </c>
      <c r="G26" s="70">
        <f t="shared" si="3"/>
        <v>885</v>
      </c>
      <c r="H26" s="72">
        <f t="shared" si="0"/>
        <v>1.0317393144308082</v>
      </c>
      <c r="I26" s="1"/>
      <c r="J26" s="1"/>
    </row>
    <row r="27" spans="1:10" ht="31.5" x14ac:dyDescent="0.25">
      <c r="A27" s="57" t="s">
        <v>19</v>
      </c>
      <c r="B27" s="71">
        <f>SUM(B10:B26)</f>
        <v>609483.99999999988</v>
      </c>
      <c r="C27" s="71">
        <f t="shared" ref="C27:E27" si="4">SUM(C10:C26)</f>
        <v>687864.1</v>
      </c>
      <c r="D27" s="71">
        <f t="shared" si="4"/>
        <v>663776.6</v>
      </c>
      <c r="E27" s="71">
        <f t="shared" si="4"/>
        <v>-24087.500000000036</v>
      </c>
      <c r="F27" s="73">
        <f>D27/C27</f>
        <v>0.96498218180015505</v>
      </c>
      <c r="G27" s="71">
        <f t="shared" ref="G27" si="5">SUM(G10:G26)</f>
        <v>54292.599999999991</v>
      </c>
      <c r="H27" s="73">
        <f t="shared" si="0"/>
        <v>1.0890796148873474</v>
      </c>
    </row>
  </sheetData>
  <mergeCells count="3">
    <mergeCell ref="G7:H7"/>
    <mergeCell ref="A5:H5"/>
    <mergeCell ref="E1:H1"/>
  </mergeCells>
  <pageMargins left="0.98425196850393704" right="0.59055118110236227" top="0.59055118110236227" bottom="0.59055118110236227" header="0.31496062992125984" footer="0.31496062992125984"/>
  <pageSetup paperSize="9" scale="97" orientation="portrait" r:id="rId1"/>
  <ignoredErrors>
    <ignoredError sqref="B27:C27 D27" formulaRange="1"/>
    <ignoredError sqref="F2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/>
  </sheetViews>
  <sheetFormatPr defaultRowHeight="15" x14ac:dyDescent="0.25"/>
  <cols>
    <col min="1" max="1" width="5.7109375" customWidth="1"/>
    <col min="2" max="2" width="35.7109375" customWidth="1"/>
    <col min="3" max="3" width="10.28515625" customWidth="1"/>
    <col min="4" max="4" width="8.28515625" customWidth="1"/>
    <col min="5" max="5" width="9.7109375" customWidth="1"/>
    <col min="6" max="6" width="8.28515625" customWidth="1"/>
    <col min="7" max="7" width="9.7109375" customWidth="1"/>
    <col min="8" max="8" width="7.7109375" hidden="1" customWidth="1"/>
    <col min="9" max="9" width="9.7109375" hidden="1" customWidth="1"/>
    <col min="10" max="10" width="7.7109375" customWidth="1"/>
    <col min="11" max="11" width="9.7109375" customWidth="1"/>
    <col min="12" max="12" width="9.28515625" customWidth="1"/>
    <col min="13" max="13" width="9.7109375" customWidth="1"/>
    <col min="14" max="16" width="10.7109375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19" t="s">
        <v>194</v>
      </c>
      <c r="M1" s="119"/>
      <c r="N1" s="1"/>
      <c r="O1" s="1"/>
      <c r="P1" s="1"/>
    </row>
    <row r="2" spans="1:16" ht="11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2.25" customHeight="1" x14ac:dyDescent="0.25">
      <c r="A3" s="120" t="s">
        <v>250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"/>
      <c r="O3" s="1"/>
      <c r="P3" s="1"/>
    </row>
    <row r="4" spans="1:16" ht="9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3" customFormat="1" ht="20.100000000000001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118" t="s">
        <v>3</v>
      </c>
      <c r="M5" s="118"/>
      <c r="N5" s="2"/>
      <c r="O5" s="2"/>
      <c r="P5" s="2"/>
    </row>
    <row r="6" spans="1:16" s="15" customFormat="1" ht="15.75" x14ac:dyDescent="0.2">
      <c r="A6" s="127" t="s">
        <v>5</v>
      </c>
      <c r="B6" s="127" t="s">
        <v>2</v>
      </c>
      <c r="C6" s="132" t="s">
        <v>1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4"/>
      <c r="O6" s="14"/>
      <c r="P6" s="14"/>
    </row>
    <row r="7" spans="1:16" s="17" customFormat="1" ht="25.5" customHeight="1" x14ac:dyDescent="0.2">
      <c r="A7" s="128"/>
      <c r="B7" s="130"/>
      <c r="C7" s="127" t="s">
        <v>21</v>
      </c>
      <c r="D7" s="134" t="s">
        <v>0</v>
      </c>
      <c r="E7" s="133"/>
      <c r="F7" s="133"/>
      <c r="G7" s="133"/>
      <c r="H7" s="133"/>
      <c r="I7" s="133"/>
      <c r="J7" s="133"/>
      <c r="K7" s="133"/>
      <c r="L7" s="133"/>
      <c r="M7" s="133"/>
      <c r="N7" s="16"/>
      <c r="O7" s="16"/>
      <c r="P7" s="16"/>
    </row>
    <row r="8" spans="1:16" s="17" customFormat="1" ht="25.5" customHeight="1" x14ac:dyDescent="0.2">
      <c r="A8" s="128"/>
      <c r="B8" s="130"/>
      <c r="C8" s="129"/>
      <c r="D8" s="135" t="s">
        <v>251</v>
      </c>
      <c r="E8" s="124"/>
      <c r="F8" s="123" t="s">
        <v>252</v>
      </c>
      <c r="G8" s="124"/>
      <c r="H8" s="123" t="s">
        <v>254</v>
      </c>
      <c r="I8" s="124"/>
      <c r="J8" s="123" t="s">
        <v>253</v>
      </c>
      <c r="K8" s="124"/>
      <c r="L8" s="123" t="s">
        <v>255</v>
      </c>
      <c r="M8" s="124"/>
      <c r="N8" s="16"/>
      <c r="O8" s="16"/>
      <c r="P8" s="16"/>
    </row>
    <row r="9" spans="1:16" s="17" customFormat="1" ht="25.5" x14ac:dyDescent="0.2">
      <c r="A9" s="129"/>
      <c r="B9" s="131"/>
      <c r="C9" s="87" t="s">
        <v>249</v>
      </c>
      <c r="D9" s="88" t="s">
        <v>22</v>
      </c>
      <c r="E9" s="18" t="s">
        <v>23</v>
      </c>
      <c r="F9" s="18" t="s">
        <v>22</v>
      </c>
      <c r="G9" s="18" t="s">
        <v>23</v>
      </c>
      <c r="H9" s="18" t="s">
        <v>22</v>
      </c>
      <c r="I9" s="18" t="s">
        <v>23</v>
      </c>
      <c r="J9" s="18" t="s">
        <v>22</v>
      </c>
      <c r="K9" s="18" t="s">
        <v>23</v>
      </c>
      <c r="L9" s="18" t="s">
        <v>22</v>
      </c>
      <c r="M9" s="18" t="s">
        <v>23</v>
      </c>
      <c r="N9" s="16"/>
      <c r="O9" s="16"/>
      <c r="P9" s="16"/>
    </row>
    <row r="10" spans="1:16" ht="20.100000000000001" customHeight="1" x14ac:dyDescent="0.25">
      <c r="A10" s="125" t="s">
        <v>4</v>
      </c>
      <c r="B10" s="125"/>
      <c r="C10" s="126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"/>
      <c r="O10" s="1"/>
      <c r="P10" s="1"/>
    </row>
    <row r="11" spans="1:16" ht="18" customHeight="1" x14ac:dyDescent="0.25">
      <c r="A11" s="8"/>
      <c r="B11" s="8" t="s">
        <v>217</v>
      </c>
      <c r="C11" s="13">
        <f>Прочее!A13</f>
        <v>62123.799999999996</v>
      </c>
      <c r="D11" s="22">
        <f>E11-C11</f>
        <v>319.40000000000146</v>
      </c>
      <c r="E11" s="13">
        <v>62443.199999999997</v>
      </c>
      <c r="F11" s="22">
        <f>G11-E11</f>
        <v>0</v>
      </c>
      <c r="G11" s="13">
        <f>E11</f>
        <v>62443.199999999997</v>
      </c>
      <c r="H11" s="22"/>
      <c r="I11" s="13">
        <f>G11</f>
        <v>62443.199999999997</v>
      </c>
      <c r="J11" s="22">
        <f>K11-I11</f>
        <v>12.700000000004366</v>
      </c>
      <c r="K11" s="13">
        <v>62455.9</v>
      </c>
      <c r="L11" s="22">
        <f>M11-K11</f>
        <v>-2842.5999999999985</v>
      </c>
      <c r="M11" s="13">
        <v>59613.3</v>
      </c>
      <c r="N11" s="1"/>
      <c r="O11" s="1"/>
      <c r="P11" s="1"/>
    </row>
    <row r="12" spans="1:16" ht="18" customHeight="1" x14ac:dyDescent="0.25">
      <c r="A12" s="8"/>
      <c r="B12" s="8" t="s">
        <v>35</v>
      </c>
      <c r="C12" s="13">
        <v>620506.9</v>
      </c>
      <c r="D12" s="22">
        <f>E12-C12</f>
        <v>0</v>
      </c>
      <c r="E12" s="13">
        <v>620506.9</v>
      </c>
      <c r="F12" s="22">
        <f>G12-E12</f>
        <v>6307.0999999999767</v>
      </c>
      <c r="G12" s="13">
        <v>626814</v>
      </c>
      <c r="H12" s="22"/>
      <c r="I12" s="13">
        <f>G12</f>
        <v>626814</v>
      </c>
      <c r="J12" s="22">
        <f>K12-I12</f>
        <v>1204.3000000000466</v>
      </c>
      <c r="K12" s="13">
        <v>628018.30000000005</v>
      </c>
      <c r="L12" s="22">
        <f>M12-K12</f>
        <v>-6287.9000000000233</v>
      </c>
      <c r="M12" s="13">
        <v>621730.4</v>
      </c>
      <c r="N12" s="1"/>
      <c r="O12" s="1"/>
      <c r="P12" s="1"/>
    </row>
    <row r="13" spans="1:16" s="6" customFormat="1" ht="18" customHeight="1" x14ac:dyDescent="0.25">
      <c r="A13" s="9"/>
      <c r="B13" s="9" t="s">
        <v>6</v>
      </c>
      <c r="C13" s="10">
        <f t="shared" ref="C13:M13" si="0">C11+C12</f>
        <v>682630.70000000007</v>
      </c>
      <c r="D13" s="23">
        <f t="shared" si="0"/>
        <v>319.40000000000146</v>
      </c>
      <c r="E13" s="10">
        <f t="shared" si="0"/>
        <v>682950.1</v>
      </c>
      <c r="F13" s="23">
        <f t="shared" si="0"/>
        <v>6307.0999999999767</v>
      </c>
      <c r="G13" s="10">
        <f t="shared" si="0"/>
        <v>689257.2</v>
      </c>
      <c r="H13" s="23">
        <f t="shared" si="0"/>
        <v>0</v>
      </c>
      <c r="I13" s="10">
        <f t="shared" si="0"/>
        <v>689257.2</v>
      </c>
      <c r="J13" s="23">
        <f t="shared" si="0"/>
        <v>1217.0000000000509</v>
      </c>
      <c r="K13" s="10">
        <f t="shared" si="0"/>
        <v>690474.20000000007</v>
      </c>
      <c r="L13" s="23">
        <f t="shared" si="0"/>
        <v>-9130.5000000000218</v>
      </c>
      <c r="M13" s="10">
        <f t="shared" si="0"/>
        <v>681343.70000000007</v>
      </c>
      <c r="N13" s="5"/>
      <c r="O13" s="60"/>
      <c r="P13" s="5"/>
    </row>
    <row r="14" spans="1:16" ht="19.5" customHeight="1" x14ac:dyDescent="0.25">
      <c r="A14" s="125" t="s">
        <v>7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"/>
      <c r="O14" s="1"/>
      <c r="P14" s="1"/>
    </row>
    <row r="15" spans="1:16" ht="18" customHeight="1" x14ac:dyDescent="0.25">
      <c r="A15" s="11" t="s">
        <v>8</v>
      </c>
      <c r="B15" s="8" t="s">
        <v>24</v>
      </c>
      <c r="C15" s="13">
        <f>'Таблица 3'!D9</f>
        <v>45199.199999999997</v>
      </c>
      <c r="D15" s="48">
        <v>511.8</v>
      </c>
      <c r="E15" s="13">
        <f t="shared" ref="E15:M25" si="1">C15+D15</f>
        <v>45711</v>
      </c>
      <c r="F15" s="22">
        <v>6101.5</v>
      </c>
      <c r="G15" s="13">
        <f t="shared" si="1"/>
        <v>51812.5</v>
      </c>
      <c r="H15" s="48"/>
      <c r="I15" s="13">
        <f t="shared" si="1"/>
        <v>51812.5</v>
      </c>
      <c r="J15" s="22">
        <v>-776.2</v>
      </c>
      <c r="K15" s="21">
        <f t="shared" si="1"/>
        <v>51036.3</v>
      </c>
      <c r="L15" s="22">
        <v>-4715.6000000000004</v>
      </c>
      <c r="M15" s="21">
        <f t="shared" si="1"/>
        <v>46320.700000000004</v>
      </c>
      <c r="N15" s="1"/>
      <c r="O15" s="1"/>
      <c r="P15" s="1"/>
    </row>
    <row r="16" spans="1:16" ht="18" customHeight="1" x14ac:dyDescent="0.25">
      <c r="A16" s="11" t="s">
        <v>9</v>
      </c>
      <c r="B16" s="8" t="s">
        <v>25</v>
      </c>
      <c r="C16" s="13">
        <f>'Таблица 3'!D19</f>
        <v>769.3</v>
      </c>
      <c r="D16" s="48"/>
      <c r="E16" s="13">
        <f t="shared" si="1"/>
        <v>769.3</v>
      </c>
      <c r="F16" s="22">
        <v>47</v>
      </c>
      <c r="G16" s="13">
        <f t="shared" si="1"/>
        <v>816.3</v>
      </c>
      <c r="H16" s="48"/>
      <c r="I16" s="13">
        <f t="shared" si="1"/>
        <v>816.3</v>
      </c>
      <c r="J16" s="22"/>
      <c r="K16" s="13">
        <f t="shared" si="1"/>
        <v>816.3</v>
      </c>
      <c r="L16" s="22"/>
      <c r="M16" s="13">
        <f t="shared" si="1"/>
        <v>816.3</v>
      </c>
      <c r="N16" s="1"/>
      <c r="O16" s="1"/>
      <c r="P16" s="1"/>
    </row>
    <row r="17" spans="1:16" ht="31.5" x14ac:dyDescent="0.25">
      <c r="A17" s="11" t="s">
        <v>10</v>
      </c>
      <c r="B17" s="8" t="s">
        <v>26</v>
      </c>
      <c r="C17" s="13">
        <f>'Таблица 3'!D22</f>
        <v>1997</v>
      </c>
      <c r="D17" s="48"/>
      <c r="E17" s="13">
        <f t="shared" si="1"/>
        <v>1997</v>
      </c>
      <c r="F17" s="22">
        <v>-500</v>
      </c>
      <c r="G17" s="13">
        <f t="shared" si="1"/>
        <v>1497</v>
      </c>
      <c r="H17" s="48"/>
      <c r="I17" s="13">
        <f t="shared" si="1"/>
        <v>1497</v>
      </c>
      <c r="J17" s="22">
        <v>80</v>
      </c>
      <c r="K17" s="13">
        <f t="shared" si="1"/>
        <v>1577</v>
      </c>
      <c r="L17" s="22">
        <v>70</v>
      </c>
      <c r="M17" s="13">
        <f t="shared" si="1"/>
        <v>1647</v>
      </c>
      <c r="N17" s="1"/>
      <c r="O17" s="1"/>
      <c r="P17" s="1"/>
    </row>
    <row r="18" spans="1:16" ht="18" customHeight="1" x14ac:dyDescent="0.25">
      <c r="A18" s="11" t="s">
        <v>11</v>
      </c>
      <c r="B18" s="8" t="s">
        <v>27</v>
      </c>
      <c r="C18" s="13">
        <f>'Таблица 3'!D25</f>
        <v>102146.9</v>
      </c>
      <c r="D18" s="48">
        <v>-52353</v>
      </c>
      <c r="E18" s="13">
        <f t="shared" si="1"/>
        <v>49793.899999999994</v>
      </c>
      <c r="F18" s="22">
        <v>1678.9</v>
      </c>
      <c r="G18" s="13">
        <f t="shared" si="1"/>
        <v>51472.799999999996</v>
      </c>
      <c r="H18" s="48"/>
      <c r="I18" s="13">
        <f t="shared" si="1"/>
        <v>51472.799999999996</v>
      </c>
      <c r="J18" s="22"/>
      <c r="K18" s="13">
        <f t="shared" si="1"/>
        <v>51472.799999999996</v>
      </c>
      <c r="L18" s="22">
        <v>-1541.8</v>
      </c>
      <c r="M18" s="13">
        <f t="shared" si="1"/>
        <v>49930.999999999993</v>
      </c>
      <c r="N18" s="1"/>
      <c r="O18" s="1"/>
      <c r="P18" s="1"/>
    </row>
    <row r="19" spans="1:16" ht="18" customHeight="1" x14ac:dyDescent="0.25">
      <c r="A19" s="11" t="s">
        <v>12</v>
      </c>
      <c r="B19" s="8" t="s">
        <v>28</v>
      </c>
      <c r="C19" s="13">
        <f>'Таблица 3'!D34</f>
        <v>13193.2</v>
      </c>
      <c r="D19" s="48">
        <v>59168.7</v>
      </c>
      <c r="E19" s="13">
        <f t="shared" si="1"/>
        <v>72361.899999999994</v>
      </c>
      <c r="F19" s="22">
        <v>-1356.6</v>
      </c>
      <c r="G19" s="13">
        <f t="shared" si="1"/>
        <v>71005.299999999988</v>
      </c>
      <c r="H19" s="48"/>
      <c r="I19" s="13">
        <f t="shared" si="1"/>
        <v>71005.299999999988</v>
      </c>
      <c r="J19" s="22">
        <v>2148.6</v>
      </c>
      <c r="K19" s="13">
        <f t="shared" si="1"/>
        <v>73153.899999999994</v>
      </c>
      <c r="L19" s="22">
        <v>-7732.5</v>
      </c>
      <c r="M19" s="13">
        <f t="shared" si="1"/>
        <v>65421.399999999994</v>
      </c>
      <c r="N19" s="1"/>
      <c r="O19" s="1"/>
      <c r="P19" s="1"/>
    </row>
    <row r="20" spans="1:16" ht="18" customHeight="1" x14ac:dyDescent="0.25">
      <c r="A20" s="11" t="s">
        <v>13</v>
      </c>
      <c r="B20" s="8" t="s">
        <v>29</v>
      </c>
      <c r="C20" s="13">
        <f>'Таблица 3'!D38</f>
        <v>1904.7</v>
      </c>
      <c r="D20" s="48"/>
      <c r="E20" s="13">
        <f t="shared" si="1"/>
        <v>1904.7</v>
      </c>
      <c r="F20" s="22">
        <v>1148.5999999999999</v>
      </c>
      <c r="G20" s="13">
        <f t="shared" si="1"/>
        <v>3053.3</v>
      </c>
      <c r="H20" s="48"/>
      <c r="I20" s="13">
        <f t="shared" si="1"/>
        <v>3053.3</v>
      </c>
      <c r="J20" s="22">
        <v>-2148.6</v>
      </c>
      <c r="K20" s="13">
        <f t="shared" si="1"/>
        <v>904.70000000000027</v>
      </c>
      <c r="L20" s="22">
        <v>-113.4</v>
      </c>
      <c r="M20" s="13">
        <f t="shared" si="1"/>
        <v>791.3000000000003</v>
      </c>
      <c r="N20" s="1"/>
      <c r="O20" s="1"/>
      <c r="P20" s="1"/>
    </row>
    <row r="21" spans="1:16" ht="18" customHeight="1" x14ac:dyDescent="0.25">
      <c r="A21" s="11" t="s">
        <v>14</v>
      </c>
      <c r="B21" s="8" t="s">
        <v>30</v>
      </c>
      <c r="C21" s="13">
        <f>'Таблица 3'!D41</f>
        <v>330656.59999999998</v>
      </c>
      <c r="D21" s="48">
        <v>358.9</v>
      </c>
      <c r="E21" s="13">
        <f t="shared" si="1"/>
        <v>331015.5</v>
      </c>
      <c r="F21" s="22">
        <v>-2183</v>
      </c>
      <c r="G21" s="13">
        <f t="shared" si="1"/>
        <v>328832.5</v>
      </c>
      <c r="H21" s="48"/>
      <c r="I21" s="21">
        <f t="shared" si="1"/>
        <v>328832.5</v>
      </c>
      <c r="J21" s="22">
        <v>22.8</v>
      </c>
      <c r="K21" s="21">
        <f t="shared" si="1"/>
        <v>328855.3</v>
      </c>
      <c r="L21" s="22">
        <v>-829</v>
      </c>
      <c r="M21" s="21">
        <f t="shared" si="1"/>
        <v>328026.3</v>
      </c>
      <c r="N21" s="1"/>
      <c r="O21" s="1"/>
      <c r="P21" s="1"/>
    </row>
    <row r="22" spans="1:16" ht="18" customHeight="1" x14ac:dyDescent="0.25">
      <c r="A22" s="11" t="s">
        <v>15</v>
      </c>
      <c r="B22" s="8" t="s">
        <v>32</v>
      </c>
      <c r="C22" s="13">
        <f>'Таблица 3'!D46</f>
        <v>19394.400000000001</v>
      </c>
      <c r="D22" s="48">
        <v>91.5</v>
      </c>
      <c r="E22" s="13">
        <f t="shared" si="1"/>
        <v>19485.900000000001</v>
      </c>
      <c r="F22" s="22">
        <v>-826.5</v>
      </c>
      <c r="G22" s="13">
        <f t="shared" si="1"/>
        <v>18659.400000000001</v>
      </c>
      <c r="H22" s="48"/>
      <c r="I22" s="13">
        <f t="shared" si="1"/>
        <v>18659.400000000001</v>
      </c>
      <c r="J22" s="22">
        <v>40</v>
      </c>
      <c r="K22" s="13">
        <f t="shared" si="1"/>
        <v>18699.400000000001</v>
      </c>
      <c r="L22" s="22">
        <v>-405.7</v>
      </c>
      <c r="M22" s="13">
        <f t="shared" si="1"/>
        <v>18293.7</v>
      </c>
      <c r="N22" s="1"/>
      <c r="O22" s="1"/>
      <c r="P22" s="1"/>
    </row>
    <row r="23" spans="1:16" ht="18" customHeight="1" x14ac:dyDescent="0.25">
      <c r="A23" s="11" t="s">
        <v>16</v>
      </c>
      <c r="B23" s="8" t="s">
        <v>31</v>
      </c>
      <c r="C23" s="13">
        <f>'Таблица 3'!D48</f>
        <v>65231.7</v>
      </c>
      <c r="D23" s="48">
        <v>-6336.4</v>
      </c>
      <c r="E23" s="13">
        <f t="shared" si="1"/>
        <v>58895.299999999996</v>
      </c>
      <c r="F23" s="22">
        <v>30.7</v>
      </c>
      <c r="G23" s="13">
        <f t="shared" si="1"/>
        <v>58925.999999999993</v>
      </c>
      <c r="H23" s="48"/>
      <c r="I23" s="13">
        <f t="shared" si="1"/>
        <v>58925.999999999993</v>
      </c>
      <c r="J23" s="22">
        <v>1194.2</v>
      </c>
      <c r="K23" s="13">
        <f t="shared" si="1"/>
        <v>60120.19999999999</v>
      </c>
      <c r="L23" s="22">
        <v>396.4</v>
      </c>
      <c r="M23" s="13">
        <f t="shared" si="1"/>
        <v>60516.599999999991</v>
      </c>
      <c r="N23" s="1"/>
      <c r="O23" s="1"/>
      <c r="P23" s="1"/>
    </row>
    <row r="24" spans="1:16" ht="18" customHeight="1" x14ac:dyDescent="0.25">
      <c r="A24" s="11" t="s">
        <v>17</v>
      </c>
      <c r="B24" s="8" t="s">
        <v>33</v>
      </c>
      <c r="C24" s="13">
        <f>'Таблица 3'!D54</f>
        <v>3481.7</v>
      </c>
      <c r="D24" s="48">
        <v>900</v>
      </c>
      <c r="E24" s="13">
        <f t="shared" si="1"/>
        <v>4381.7</v>
      </c>
      <c r="F24" s="22"/>
      <c r="G24" s="13">
        <f t="shared" si="1"/>
        <v>4381.7</v>
      </c>
      <c r="H24" s="48"/>
      <c r="I24" s="13">
        <f t="shared" si="1"/>
        <v>4381.7</v>
      </c>
      <c r="J24" s="22"/>
      <c r="K24" s="13">
        <f t="shared" si="1"/>
        <v>4381.7</v>
      </c>
      <c r="L24" s="22"/>
      <c r="M24" s="13">
        <f t="shared" si="1"/>
        <v>4381.7</v>
      </c>
      <c r="N24" s="1"/>
      <c r="O24" s="1"/>
      <c r="P24" s="1"/>
    </row>
    <row r="25" spans="1:16" ht="18" customHeight="1" x14ac:dyDescent="0.25">
      <c r="A25" s="11" t="s">
        <v>18</v>
      </c>
      <c r="B25" s="8" t="s">
        <v>34</v>
      </c>
      <c r="C25" s="13">
        <f>'Таблица 3'!D57</f>
        <v>101756.1</v>
      </c>
      <c r="D25" s="48">
        <v>200</v>
      </c>
      <c r="E25" s="13">
        <f t="shared" si="1"/>
        <v>101956.1</v>
      </c>
      <c r="F25" s="22">
        <v>6464.6</v>
      </c>
      <c r="G25" s="13">
        <f t="shared" si="1"/>
        <v>108420.70000000001</v>
      </c>
      <c r="H25" s="48"/>
      <c r="I25" s="13">
        <f t="shared" si="1"/>
        <v>108420.70000000001</v>
      </c>
      <c r="J25" s="22">
        <v>656.3</v>
      </c>
      <c r="K25" s="13">
        <f t="shared" si="1"/>
        <v>109077.00000000001</v>
      </c>
      <c r="L25" s="22">
        <v>2641.1</v>
      </c>
      <c r="M25" s="13">
        <f t="shared" si="1"/>
        <v>111718.10000000002</v>
      </c>
      <c r="N25" s="1"/>
      <c r="O25" s="1"/>
      <c r="P25" s="1"/>
    </row>
    <row r="26" spans="1:16" s="6" customFormat="1" ht="18" customHeight="1" x14ac:dyDescent="0.25">
      <c r="A26" s="12"/>
      <c r="B26" s="9" t="s">
        <v>19</v>
      </c>
      <c r="C26" s="10">
        <f>SUM(C15:C25)-0.1</f>
        <v>685730.7</v>
      </c>
      <c r="D26" s="23">
        <f>SUM(D15:D25)</f>
        <v>2541.5</v>
      </c>
      <c r="E26" s="10">
        <f>SUM(E15:E25)+0.1</f>
        <v>688272.39999999991</v>
      </c>
      <c r="F26" s="23">
        <f t="shared" ref="F26:L26" si="2">SUM(F15:F25)</f>
        <v>10605.2</v>
      </c>
      <c r="G26" s="10">
        <f>SUM(G15:G25)+0.2</f>
        <v>698877.7</v>
      </c>
      <c r="H26" s="23">
        <f t="shared" si="2"/>
        <v>0</v>
      </c>
      <c r="I26" s="10">
        <f>SUM(I15:I25)+0.2</f>
        <v>698877.7</v>
      </c>
      <c r="J26" s="23">
        <f>SUM(J15:J25)</f>
        <v>1217.0999999999999</v>
      </c>
      <c r="K26" s="10">
        <f>SUM(K15:K25)</f>
        <v>700094.59999999986</v>
      </c>
      <c r="L26" s="23">
        <f t="shared" si="2"/>
        <v>-12230.500000000002</v>
      </c>
      <c r="M26" s="10">
        <f>SUM(M15:M25)</f>
        <v>687864.1</v>
      </c>
      <c r="N26" s="5"/>
      <c r="O26" s="60"/>
      <c r="P26" s="5"/>
    </row>
    <row r="27" spans="1:16" ht="9.9499999999999993" customHeight="1" x14ac:dyDescent="0.25">
      <c r="A27" s="121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"/>
      <c r="O27" s="1"/>
      <c r="P27" s="1"/>
    </row>
    <row r="28" spans="1:16" s="6" customFormat="1" ht="18" customHeight="1" x14ac:dyDescent="0.25">
      <c r="A28" s="12"/>
      <c r="B28" s="9" t="s">
        <v>20</v>
      </c>
      <c r="C28" s="10">
        <f>C13-C26</f>
        <v>-3099.9999999998836</v>
      </c>
      <c r="D28" s="10"/>
      <c r="E28" s="10">
        <f>E13-E26</f>
        <v>-5322.2999999999302</v>
      </c>
      <c r="F28" s="10"/>
      <c r="G28" s="10">
        <f>G13-G26</f>
        <v>-9620.5</v>
      </c>
      <c r="H28" s="10"/>
      <c r="I28" s="10">
        <f>I13-I26</f>
        <v>-9620.5</v>
      </c>
      <c r="J28" s="10"/>
      <c r="K28" s="10">
        <f>K13-K26</f>
        <v>-9620.3999999997905</v>
      </c>
      <c r="L28" s="10"/>
      <c r="M28" s="10">
        <f>M13-M26</f>
        <v>-6520.3999999999069</v>
      </c>
      <c r="N28" s="5"/>
      <c r="O28" s="5"/>
      <c r="P28" s="5"/>
    </row>
    <row r="29" spans="1:16" ht="15.75" x14ac:dyDescent="0.25">
      <c r="A29" s="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75" x14ac:dyDescent="0.25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75" x14ac:dyDescent="0.25">
      <c r="A31" s="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.75" x14ac:dyDescent="0.25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75" x14ac:dyDescent="0.25">
      <c r="A33" s="2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mergeCells count="16">
    <mergeCell ref="L1:M1"/>
    <mergeCell ref="A3:M3"/>
    <mergeCell ref="L5:M5"/>
    <mergeCell ref="A6:A9"/>
    <mergeCell ref="B6:B9"/>
    <mergeCell ref="C6:M6"/>
    <mergeCell ref="C7:C8"/>
    <mergeCell ref="D7:M7"/>
    <mergeCell ref="D8:E8"/>
    <mergeCell ref="F8:G8"/>
    <mergeCell ref="A27:M27"/>
    <mergeCell ref="H8:I8"/>
    <mergeCell ref="J8:K8"/>
    <mergeCell ref="L8:M8"/>
    <mergeCell ref="A10:M10"/>
    <mergeCell ref="A14:M14"/>
  </mergeCells>
  <pageMargins left="0.98425196850393704" right="0.78740157480314965" top="0.49212598425196852" bottom="0.49212598425196852" header="0.31496062992125984" footer="0.31496062992125984"/>
  <pageSetup paperSize="9" orientation="landscape" verticalDpi="0" r:id="rId1"/>
  <ignoredErrors>
    <ignoredError sqref="E26:G26 G12 H26:I26 J26 L26 G11 I11 I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I15" sqref="I15"/>
    </sheetView>
  </sheetViews>
  <sheetFormatPr defaultRowHeight="15" x14ac:dyDescent="0.25"/>
  <cols>
    <col min="1" max="1" width="14" style="91" customWidth="1"/>
    <col min="2" max="2" width="9.140625" style="97"/>
    <col min="4" max="4" width="9.140625" style="97"/>
    <col min="6" max="6" width="13.7109375" style="91" customWidth="1"/>
    <col min="7" max="7" width="9.140625" style="55"/>
    <col min="8" max="8" width="13.28515625" customWidth="1"/>
    <col min="9" max="9" width="12.140625" style="112" customWidth="1"/>
    <col min="10" max="10" width="13.28515625" customWidth="1"/>
    <col min="12" max="12" width="11.5703125" style="115" customWidth="1"/>
  </cols>
  <sheetData>
    <row r="1" spans="1:12" x14ac:dyDescent="0.25">
      <c r="A1" s="92">
        <v>37496.400000000001</v>
      </c>
      <c r="B1" s="98"/>
      <c r="D1" s="97">
        <v>40</v>
      </c>
      <c r="F1" s="91">
        <v>9952917.4800000004</v>
      </c>
      <c r="G1" s="55" t="s">
        <v>257</v>
      </c>
      <c r="H1" s="91">
        <v>2000000</v>
      </c>
      <c r="I1" s="112" t="s">
        <v>91</v>
      </c>
      <c r="J1" s="91">
        <v>2000000</v>
      </c>
      <c r="L1" s="116">
        <f>H1-J1</f>
        <v>0</v>
      </c>
    </row>
    <row r="2" spans="1:12" x14ac:dyDescent="0.25">
      <c r="A2" s="92">
        <v>4279.7</v>
      </c>
      <c r="B2" s="96"/>
      <c r="D2" s="97">
        <v>69.7</v>
      </c>
      <c r="F2" s="91">
        <v>662600573.25999999</v>
      </c>
      <c r="G2" s="55" t="s">
        <v>258</v>
      </c>
      <c r="H2" s="91">
        <v>11549622.710000001</v>
      </c>
      <c r="I2" s="112" t="s">
        <v>142</v>
      </c>
      <c r="J2" s="91">
        <v>11418163.27</v>
      </c>
      <c r="L2" s="116">
        <f t="shared" ref="L2:L8" si="0">H2-J2</f>
        <v>131459.44000000134</v>
      </c>
    </row>
    <row r="3" spans="1:12" x14ac:dyDescent="0.25">
      <c r="A3" s="92">
        <v>7396.2</v>
      </c>
      <c r="B3" s="96"/>
      <c r="D3" s="97">
        <v>170</v>
      </c>
      <c r="F3" s="91">
        <v>663776598.33000004</v>
      </c>
      <c r="G3" s="55" t="s">
        <v>259</v>
      </c>
      <c r="H3" s="91">
        <v>40770679.539999999</v>
      </c>
      <c r="I3" s="112" t="s">
        <v>143</v>
      </c>
      <c r="J3" s="91">
        <v>40484657.479999997</v>
      </c>
      <c r="L3" s="116">
        <f t="shared" si="0"/>
        <v>286022.06000000238</v>
      </c>
    </row>
    <row r="4" spans="1:12" x14ac:dyDescent="0.25">
      <c r="A4" s="92">
        <v>625</v>
      </c>
      <c r="B4" s="96"/>
      <c r="D4" s="97">
        <v>17.3</v>
      </c>
      <c r="F4" s="91">
        <f>F1+F2-F3</f>
        <v>8776892.4099999666</v>
      </c>
      <c r="G4" s="55" t="s">
        <v>260</v>
      </c>
      <c r="H4" s="91">
        <v>7547961.75</v>
      </c>
      <c r="I4" s="112" t="s">
        <v>145</v>
      </c>
      <c r="J4" s="91">
        <v>7547961.75</v>
      </c>
      <c r="L4" s="116">
        <f t="shared" si="0"/>
        <v>0</v>
      </c>
    </row>
    <row r="5" spans="1:12" x14ac:dyDescent="0.25">
      <c r="A5" s="93">
        <f>SUM(A1:A4)</f>
        <v>49797.299999999996</v>
      </c>
      <c r="B5" s="96"/>
      <c r="D5" s="97">
        <v>1296.4000000000001</v>
      </c>
      <c r="H5" s="91">
        <v>16804992</v>
      </c>
      <c r="I5" s="112" t="s">
        <v>151</v>
      </c>
      <c r="J5" s="91">
        <v>16781587</v>
      </c>
      <c r="L5" s="116">
        <f t="shared" si="0"/>
        <v>23405</v>
      </c>
    </row>
    <row r="6" spans="1:12" x14ac:dyDescent="0.25">
      <c r="A6" s="92">
        <v>2558.5</v>
      </c>
      <c r="B6" s="96"/>
      <c r="D6" s="97">
        <v>234.7</v>
      </c>
      <c r="F6" s="92">
        <f>F4/1000</f>
        <v>8776.8924099999658</v>
      </c>
      <c r="H6" s="91">
        <v>3526700</v>
      </c>
      <c r="I6" s="112" t="s">
        <v>167</v>
      </c>
      <c r="J6" s="91">
        <v>3526700</v>
      </c>
      <c r="L6" s="116">
        <f t="shared" si="0"/>
        <v>0</v>
      </c>
    </row>
    <row r="7" spans="1:12" x14ac:dyDescent="0.25">
      <c r="A7" s="92">
        <v>528.6</v>
      </c>
      <c r="B7" s="96"/>
      <c r="D7" s="97">
        <v>24.4</v>
      </c>
      <c r="F7" s="92">
        <v>1900.6</v>
      </c>
      <c r="H7" s="91">
        <v>48830400</v>
      </c>
      <c r="I7" s="112" t="s">
        <v>173</v>
      </c>
      <c r="J7" s="91">
        <v>48830400</v>
      </c>
      <c r="L7" s="116">
        <f t="shared" si="0"/>
        <v>0</v>
      </c>
    </row>
    <row r="8" spans="1:12" x14ac:dyDescent="0.25">
      <c r="A8" s="92">
        <v>7193.2</v>
      </c>
      <c r="B8" s="96"/>
      <c r="D8" s="97">
        <v>114.2</v>
      </c>
      <c r="F8" s="92">
        <f>F6-F7</f>
        <v>6876.2924099999655</v>
      </c>
      <c r="H8" s="91">
        <v>11364144</v>
      </c>
      <c r="I8" s="112" t="s">
        <v>174</v>
      </c>
      <c r="J8" s="91">
        <v>11337144</v>
      </c>
      <c r="L8" s="116">
        <f t="shared" si="0"/>
        <v>27000</v>
      </c>
    </row>
    <row r="9" spans="1:12" x14ac:dyDescent="0.25">
      <c r="A9" s="92">
        <v>10</v>
      </c>
      <c r="B9" s="96"/>
      <c r="D9" s="97">
        <v>1.5</v>
      </c>
      <c r="H9" s="113">
        <f>SUM(H1:H8)</f>
        <v>142394500</v>
      </c>
      <c r="J9" s="113">
        <f>SUM(J1:J8)</f>
        <v>141926613.5</v>
      </c>
      <c r="L9" s="117">
        <f>SUM(L1:L8)</f>
        <v>467886.50000000373</v>
      </c>
    </row>
    <row r="10" spans="1:12" x14ac:dyDescent="0.25">
      <c r="A10" s="92">
        <v>2036.2</v>
      </c>
      <c r="B10" s="96"/>
      <c r="D10" s="97">
        <v>49.8</v>
      </c>
    </row>
    <row r="11" spans="1:12" x14ac:dyDescent="0.25">
      <c r="A11" s="94">
        <f>SUM(A6:A10)</f>
        <v>12326.5</v>
      </c>
      <c r="B11" s="96"/>
      <c r="D11" s="96">
        <v>74.7</v>
      </c>
      <c r="I11" s="114">
        <f>H9-J9</f>
        <v>467886.5</v>
      </c>
    </row>
    <row r="12" spans="1:12" x14ac:dyDescent="0.25">
      <c r="A12" s="92"/>
      <c r="B12" s="96"/>
      <c r="D12" s="99">
        <v>1016.7</v>
      </c>
    </row>
    <row r="13" spans="1:12" x14ac:dyDescent="0.25">
      <c r="A13" s="95">
        <f>A5+A11</f>
        <v>62123.799999999996</v>
      </c>
      <c r="B13" s="96"/>
      <c r="D13" s="97">
        <v>2232.3000000000002</v>
      </c>
    </row>
    <row r="14" spans="1:12" x14ac:dyDescent="0.25">
      <c r="A14" s="92"/>
      <c r="B14" s="96"/>
      <c r="D14" s="97">
        <v>0.1</v>
      </c>
    </row>
    <row r="15" spans="1:12" x14ac:dyDescent="0.25">
      <c r="B15" s="96"/>
      <c r="D15" s="97">
        <v>208.8</v>
      </c>
    </row>
    <row r="16" spans="1:12" x14ac:dyDescent="0.25">
      <c r="B16" s="96"/>
      <c r="D16" s="97">
        <v>16.5</v>
      </c>
    </row>
    <row r="17" spans="2:4" x14ac:dyDescent="0.25">
      <c r="B17" s="96"/>
      <c r="D17" s="97">
        <v>162.80000000000001</v>
      </c>
    </row>
    <row r="18" spans="2:4" x14ac:dyDescent="0.25">
      <c r="B18" s="96"/>
      <c r="D18" s="97">
        <v>315.60000000000002</v>
      </c>
    </row>
    <row r="19" spans="2:4" x14ac:dyDescent="0.25">
      <c r="D19" s="97">
        <v>46.5</v>
      </c>
    </row>
    <row r="20" spans="2:4" x14ac:dyDescent="0.25">
      <c r="D20" s="97">
        <v>48.1</v>
      </c>
    </row>
    <row r="21" spans="2:4" x14ac:dyDescent="0.25">
      <c r="D21" s="97">
        <v>18.100000000000001</v>
      </c>
    </row>
    <row r="22" spans="2:4" x14ac:dyDescent="0.25">
      <c r="D22" s="97">
        <v>10.3</v>
      </c>
    </row>
    <row r="23" spans="2:4" x14ac:dyDescent="0.25">
      <c r="D23" s="97">
        <v>46.4</v>
      </c>
    </row>
    <row r="24" spans="2:4" x14ac:dyDescent="0.25">
      <c r="D24" s="97">
        <v>6.1</v>
      </c>
    </row>
    <row r="25" spans="2:4" x14ac:dyDescent="0.25">
      <c r="D25" s="97">
        <v>163.9</v>
      </c>
    </row>
    <row r="26" spans="2:4" x14ac:dyDescent="0.25">
      <c r="D26" s="97">
        <v>53.6</v>
      </c>
    </row>
    <row r="27" spans="2:4" x14ac:dyDescent="0.25">
      <c r="D27" s="97">
        <v>168.5</v>
      </c>
    </row>
    <row r="28" spans="2:4" x14ac:dyDescent="0.25">
      <c r="D28" s="100">
        <f>SUM(D1:D27)</f>
        <v>6607.0000000000027</v>
      </c>
    </row>
    <row r="29" spans="2:4" x14ac:dyDescent="0.25">
      <c r="D29" s="98">
        <v>211.5</v>
      </c>
    </row>
    <row r="30" spans="2:4" x14ac:dyDescent="0.25">
      <c r="D30" s="97">
        <f>F8-D28-D29</f>
        <v>57.792409999962729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9"/>
  <sheetViews>
    <sheetView workbookViewId="0"/>
  </sheetViews>
  <sheetFormatPr defaultRowHeight="15" x14ac:dyDescent="0.25"/>
  <cols>
    <col min="1" max="1" width="1.7109375" customWidth="1"/>
    <col min="3" max="4" width="4.7109375" customWidth="1"/>
    <col min="5" max="5" width="5.7109375" customWidth="1"/>
    <col min="6" max="6" width="4.7109375" customWidth="1"/>
    <col min="7" max="7" width="6.7109375" customWidth="1"/>
    <col min="8" max="8" width="5.7109375" customWidth="1"/>
    <col min="9" max="9" width="4.7109375" customWidth="1"/>
    <col min="10" max="10" width="5.7109375" customWidth="1"/>
    <col min="11" max="13" width="4.7109375" customWidth="1"/>
    <col min="14" max="15" width="6.7109375" customWidth="1"/>
    <col min="16" max="16" width="4.7109375" customWidth="1"/>
    <col min="17" max="17" width="5.7109375" customWidth="1"/>
    <col min="18" max="18" width="4.7109375" customWidth="1"/>
    <col min="19" max="20" width="5.7109375" customWidth="1"/>
    <col min="21" max="26" width="4.7109375" customWidth="1"/>
    <col min="27" max="27" width="5.7109375" customWidth="1"/>
    <col min="28" max="28" width="4.7109375" customWidth="1"/>
    <col min="29" max="29" width="5.7109375" customWidth="1"/>
    <col min="30" max="31" width="6.7109375" customWidth="1"/>
  </cols>
  <sheetData>
    <row r="1" spans="2:34" x14ac:dyDescent="0.25">
      <c r="B1" s="110"/>
    </row>
    <row r="2" spans="2:34" x14ac:dyDescent="0.25">
      <c r="B2" s="104" t="s">
        <v>196</v>
      </c>
      <c r="C2" s="101">
        <v>40</v>
      </c>
      <c r="D2" s="101">
        <f>0.2+0.1</f>
        <v>0.30000000000000004</v>
      </c>
      <c r="E2" s="101">
        <v>87.1</v>
      </c>
      <c r="F2" s="101"/>
      <c r="G2" s="101"/>
      <c r="H2" s="101"/>
      <c r="I2" s="101"/>
      <c r="J2" s="101">
        <v>11.2</v>
      </c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2">
        <f t="shared" ref="AD2:AD18" si="0">SUM(C2:AC2)</f>
        <v>138.6</v>
      </c>
      <c r="AE2" s="106">
        <f>AD2/AD19</f>
        <v>2.0976798389659917E-2</v>
      </c>
      <c r="AF2" s="104" t="s">
        <v>196</v>
      </c>
      <c r="AG2" s="97"/>
      <c r="AH2" s="97"/>
    </row>
    <row r="3" spans="2:34" x14ac:dyDescent="0.25">
      <c r="B3" s="104" t="s">
        <v>197</v>
      </c>
      <c r="C3" s="101"/>
      <c r="D3" s="101">
        <v>13.8</v>
      </c>
      <c r="E3" s="101"/>
      <c r="F3" s="101"/>
      <c r="G3" s="101"/>
      <c r="H3" s="101">
        <v>4.5999999999999996</v>
      </c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1">
        <v>0.3</v>
      </c>
      <c r="T3" s="101"/>
      <c r="U3" s="111">
        <v>8.1</v>
      </c>
      <c r="V3" s="101"/>
      <c r="W3" s="101"/>
      <c r="X3" s="101"/>
      <c r="Y3" s="111">
        <v>0.7</v>
      </c>
      <c r="Z3" s="101"/>
      <c r="AA3" s="101"/>
      <c r="AB3" s="101"/>
      <c r="AC3" s="101"/>
      <c r="AD3" s="102">
        <f t="shared" si="0"/>
        <v>27.499999999999996</v>
      </c>
      <c r="AE3" s="106">
        <f>AD3/AD19</f>
        <v>4.1620631725515708E-3</v>
      </c>
      <c r="AF3" s="104" t="s">
        <v>197</v>
      </c>
      <c r="AG3" s="97"/>
      <c r="AH3" s="97"/>
    </row>
    <row r="4" spans="2:34" x14ac:dyDescent="0.25">
      <c r="B4" s="104" t="s">
        <v>198</v>
      </c>
      <c r="C4" s="101"/>
      <c r="D4" s="101">
        <f>6.5+26.4</f>
        <v>32.9</v>
      </c>
      <c r="E4" s="101">
        <v>28.2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11"/>
      <c r="T4" s="101"/>
      <c r="U4" s="111"/>
      <c r="V4" s="101"/>
      <c r="W4" s="101"/>
      <c r="X4" s="101"/>
      <c r="Y4" s="111"/>
      <c r="Z4" s="101"/>
      <c r="AA4" s="101"/>
      <c r="AB4" s="101"/>
      <c r="AC4" s="101"/>
      <c r="AD4" s="102">
        <f t="shared" si="0"/>
        <v>61.099999999999994</v>
      </c>
      <c r="AE4" s="106">
        <f>AD4/AD19</f>
        <v>9.2473476306509442E-3</v>
      </c>
      <c r="AF4" s="104" t="s">
        <v>198</v>
      </c>
      <c r="AG4" s="97"/>
      <c r="AH4" s="97"/>
    </row>
    <row r="5" spans="2:34" x14ac:dyDescent="0.25">
      <c r="B5" s="104" t="s">
        <v>199</v>
      </c>
      <c r="C5" s="101"/>
      <c r="D5" s="101">
        <f>5.9+1.6</f>
        <v>7.5</v>
      </c>
      <c r="E5" s="101">
        <v>1.2</v>
      </c>
      <c r="F5" s="101">
        <v>14.4</v>
      </c>
      <c r="G5" s="101"/>
      <c r="H5" s="101">
        <v>1</v>
      </c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11">
        <v>42.5</v>
      </c>
      <c r="T5" s="111">
        <v>28</v>
      </c>
      <c r="U5" s="111">
        <v>5.2</v>
      </c>
      <c r="V5" s="101"/>
      <c r="W5" s="101"/>
      <c r="X5" s="101"/>
      <c r="Y5" s="111">
        <v>0.2</v>
      </c>
      <c r="Z5" s="101"/>
      <c r="AA5" s="101"/>
      <c r="AB5" s="101"/>
      <c r="AC5" s="101"/>
      <c r="AD5" s="102">
        <f t="shared" si="0"/>
        <v>100</v>
      </c>
      <c r="AE5" s="106">
        <f>AD5/AD19</f>
        <v>1.5134775172914804E-2</v>
      </c>
      <c r="AF5" s="104" t="s">
        <v>199</v>
      </c>
      <c r="AG5" s="97"/>
      <c r="AH5" s="97"/>
    </row>
    <row r="6" spans="2:34" x14ac:dyDescent="0.25">
      <c r="B6" s="104" t="s">
        <v>200</v>
      </c>
      <c r="C6" s="101"/>
      <c r="D6" s="101">
        <v>2.1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11">
        <v>3.3</v>
      </c>
      <c r="T6" s="111">
        <v>16.100000000000001</v>
      </c>
      <c r="U6" s="111">
        <v>6.8</v>
      </c>
      <c r="V6" s="101"/>
      <c r="W6" s="101"/>
      <c r="X6" s="101"/>
      <c r="Y6" s="111">
        <v>5.2</v>
      </c>
      <c r="Z6" s="111"/>
      <c r="AA6" s="101"/>
      <c r="AB6" s="101"/>
      <c r="AC6" s="101"/>
      <c r="AD6" s="102">
        <f t="shared" si="0"/>
        <v>33.5</v>
      </c>
      <c r="AE6" s="106">
        <f>AD6/AD19</f>
        <v>5.0701496829264597E-3</v>
      </c>
      <c r="AF6" s="104" t="s">
        <v>200</v>
      </c>
      <c r="AG6" s="97"/>
      <c r="AH6" s="97"/>
    </row>
    <row r="7" spans="2:34" x14ac:dyDescent="0.25">
      <c r="B7" s="104" t="s">
        <v>201</v>
      </c>
      <c r="C7" s="101"/>
      <c r="D7" s="101"/>
      <c r="E7" s="101">
        <v>1.7</v>
      </c>
      <c r="F7" s="101"/>
      <c r="G7" s="101"/>
      <c r="H7" s="101">
        <v>0.1</v>
      </c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11">
        <v>15.6</v>
      </c>
      <c r="T7" s="111">
        <v>22.5</v>
      </c>
      <c r="U7" s="111"/>
      <c r="V7" s="101"/>
      <c r="W7" s="101"/>
      <c r="X7" s="101"/>
      <c r="Y7" s="111"/>
      <c r="Z7" s="111">
        <v>2.2000000000000002</v>
      </c>
      <c r="AA7" s="101"/>
      <c r="AB7" s="101"/>
      <c r="AC7" s="101"/>
      <c r="AD7" s="102">
        <f t="shared" si="0"/>
        <v>42.1</v>
      </c>
      <c r="AE7" s="106">
        <f>AD7/AD19</f>
        <v>6.371740347797133E-3</v>
      </c>
      <c r="AF7" s="104" t="s">
        <v>201</v>
      </c>
      <c r="AG7" s="97"/>
      <c r="AH7" s="97"/>
    </row>
    <row r="8" spans="2:34" x14ac:dyDescent="0.25">
      <c r="B8" s="104" t="s">
        <v>202</v>
      </c>
      <c r="C8" s="101"/>
      <c r="D8" s="101"/>
      <c r="E8" s="101"/>
      <c r="F8" s="101"/>
      <c r="G8" s="101"/>
      <c r="H8" s="101">
        <v>0.1</v>
      </c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11"/>
      <c r="T8" s="111">
        <v>6.6</v>
      </c>
      <c r="U8" s="111"/>
      <c r="V8" s="101"/>
      <c r="W8" s="101"/>
      <c r="X8" s="101"/>
      <c r="Y8" s="111"/>
      <c r="Z8" s="111"/>
      <c r="AA8" s="101"/>
      <c r="AB8" s="101"/>
      <c r="AC8" s="101"/>
      <c r="AD8" s="102">
        <f t="shared" si="0"/>
        <v>6.6999999999999993</v>
      </c>
      <c r="AE8" s="106">
        <f>AD8/AD19</f>
        <v>1.0140299365852918E-3</v>
      </c>
      <c r="AF8" s="104" t="s">
        <v>202</v>
      </c>
      <c r="AG8" s="97"/>
      <c r="AH8" s="97"/>
    </row>
    <row r="9" spans="2:34" x14ac:dyDescent="0.25">
      <c r="B9" s="104" t="s">
        <v>203</v>
      </c>
      <c r="C9" s="101"/>
      <c r="D9" s="101">
        <v>1.3</v>
      </c>
      <c r="E9" s="101">
        <v>0.1</v>
      </c>
      <c r="F9" s="101"/>
      <c r="G9" s="101"/>
      <c r="H9" s="101">
        <f>4.9+2.3</f>
        <v>7.2</v>
      </c>
      <c r="I9" s="101"/>
      <c r="J9" s="101"/>
      <c r="K9" s="101"/>
      <c r="L9" s="101"/>
      <c r="M9" s="101">
        <v>74.7</v>
      </c>
      <c r="N9" s="101">
        <v>145.5</v>
      </c>
      <c r="O9" s="101"/>
      <c r="P9" s="101"/>
      <c r="Q9" s="101">
        <v>208.8</v>
      </c>
      <c r="R9" s="101"/>
      <c r="S9" s="111">
        <v>52.2</v>
      </c>
      <c r="T9" s="111">
        <v>30</v>
      </c>
      <c r="U9" s="111">
        <f>0.8+0.6</f>
        <v>1.4</v>
      </c>
      <c r="V9" s="101"/>
      <c r="W9" s="101"/>
      <c r="X9" s="101"/>
      <c r="Y9" s="111">
        <v>3.6</v>
      </c>
      <c r="Z9" s="111"/>
      <c r="AA9" s="101"/>
      <c r="AB9" s="101"/>
      <c r="AC9" s="101"/>
      <c r="AD9" s="102">
        <f t="shared" si="0"/>
        <v>524.79999999999995</v>
      </c>
      <c r="AE9" s="106">
        <f>AD9/AD19</f>
        <v>7.9427300107456883E-2</v>
      </c>
      <c r="AF9" s="104" t="s">
        <v>203</v>
      </c>
      <c r="AG9" s="97"/>
      <c r="AH9" s="97"/>
    </row>
    <row r="10" spans="2:34" x14ac:dyDescent="0.25">
      <c r="B10" s="104" t="s">
        <v>204</v>
      </c>
      <c r="C10" s="101"/>
      <c r="D10" s="101">
        <f>5.7+0.5</f>
        <v>6.2</v>
      </c>
      <c r="E10" s="101">
        <v>10.4</v>
      </c>
      <c r="F10" s="101">
        <f>0.1+2.8</f>
        <v>2.9</v>
      </c>
      <c r="G10" s="101"/>
      <c r="H10" s="101">
        <f>0.1+13.7+100+36+2.6</f>
        <v>152.4</v>
      </c>
      <c r="I10" s="101">
        <v>4.2</v>
      </c>
      <c r="J10" s="101"/>
      <c r="K10" s="101">
        <v>0.7</v>
      </c>
      <c r="L10" s="101">
        <v>19.899999999999999</v>
      </c>
      <c r="M10" s="101"/>
      <c r="N10" s="101"/>
      <c r="O10" s="101">
        <v>2232.3000000000002</v>
      </c>
      <c r="P10" s="101"/>
      <c r="Q10" s="101"/>
      <c r="R10" s="101">
        <v>16.5</v>
      </c>
      <c r="S10" s="111"/>
      <c r="T10" s="111">
        <v>11.8</v>
      </c>
      <c r="U10" s="111"/>
      <c r="V10" s="111">
        <v>38.1</v>
      </c>
      <c r="W10" s="111">
        <v>18.100000000000001</v>
      </c>
      <c r="X10" s="111"/>
      <c r="Y10" s="111">
        <v>18.3</v>
      </c>
      <c r="Z10" s="111">
        <f>0.1+1.6</f>
        <v>1.7000000000000002</v>
      </c>
      <c r="AA10" s="101"/>
      <c r="AB10" s="101"/>
      <c r="AC10" s="101"/>
      <c r="AD10" s="102">
        <f t="shared" si="0"/>
        <v>2533.5</v>
      </c>
      <c r="AE10" s="106">
        <f>AD10/AD19</f>
        <v>0.38343952900579653</v>
      </c>
      <c r="AF10" s="104" t="s">
        <v>204</v>
      </c>
      <c r="AG10" s="97"/>
      <c r="AH10" s="97"/>
    </row>
    <row r="11" spans="2:34" x14ac:dyDescent="0.25">
      <c r="B11" s="104" t="s">
        <v>205</v>
      </c>
      <c r="C11" s="101"/>
      <c r="D11" s="101"/>
      <c r="E11" s="101"/>
      <c r="F11" s="101"/>
      <c r="G11" s="101"/>
      <c r="H11" s="101"/>
      <c r="I11" s="101"/>
      <c r="J11" s="101">
        <v>102.7</v>
      </c>
      <c r="K11" s="101"/>
      <c r="L11" s="101"/>
      <c r="M11" s="101"/>
      <c r="N11" s="101"/>
      <c r="O11" s="101"/>
      <c r="P11" s="101"/>
      <c r="Q11" s="101"/>
      <c r="R11" s="101"/>
      <c r="S11" s="111"/>
      <c r="T11" s="111"/>
      <c r="U11" s="111"/>
      <c r="V11" s="111"/>
      <c r="W11" s="111"/>
      <c r="X11" s="111"/>
      <c r="Y11" s="111"/>
      <c r="Z11" s="111"/>
      <c r="AA11" s="101"/>
      <c r="AB11" s="101"/>
      <c r="AC11" s="101"/>
      <c r="AD11" s="102">
        <f t="shared" si="0"/>
        <v>102.7</v>
      </c>
      <c r="AE11" s="106">
        <f>AD11/AD19</f>
        <v>1.5543414102583504E-2</v>
      </c>
      <c r="AF11" s="104" t="s">
        <v>205</v>
      </c>
      <c r="AG11" s="97"/>
      <c r="AH11" s="97"/>
    </row>
    <row r="12" spans="2:34" x14ac:dyDescent="0.25">
      <c r="B12" s="104" t="s">
        <v>206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11"/>
      <c r="T12" s="111"/>
      <c r="U12" s="111"/>
      <c r="V12" s="111"/>
      <c r="W12" s="111"/>
      <c r="X12" s="111"/>
      <c r="Y12" s="111"/>
      <c r="Z12" s="111"/>
      <c r="AA12" s="101"/>
      <c r="AB12" s="101"/>
      <c r="AC12" s="101">
        <v>69.2</v>
      </c>
      <c r="AD12" s="102">
        <f t="shared" si="0"/>
        <v>69.2</v>
      </c>
      <c r="AE12" s="106">
        <f>AD12/AD19</f>
        <v>1.0473264419657045E-2</v>
      </c>
      <c r="AF12" s="104" t="s">
        <v>206</v>
      </c>
      <c r="AG12" s="97"/>
      <c r="AH12" s="97"/>
    </row>
    <row r="13" spans="2:34" x14ac:dyDescent="0.25">
      <c r="B13" s="104" t="s">
        <v>207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>
        <v>871.2</v>
      </c>
      <c r="O13" s="101"/>
      <c r="P13" s="101"/>
      <c r="Q13" s="101"/>
      <c r="R13" s="101"/>
      <c r="S13" s="111"/>
      <c r="T13" s="111"/>
      <c r="U13" s="111"/>
      <c r="V13" s="111"/>
      <c r="W13" s="111"/>
      <c r="X13" s="111"/>
      <c r="Y13" s="111"/>
      <c r="Z13" s="111"/>
      <c r="AA13" s="101"/>
      <c r="AB13" s="101"/>
      <c r="AC13" s="101"/>
      <c r="AD13" s="102">
        <f t="shared" si="0"/>
        <v>871.2</v>
      </c>
      <c r="AE13" s="106">
        <f>AD13/AD19</f>
        <v>0.13185416130643376</v>
      </c>
      <c r="AF13" s="104" t="s">
        <v>207</v>
      </c>
      <c r="AG13" s="97"/>
      <c r="AH13" s="97"/>
    </row>
    <row r="14" spans="2:34" x14ac:dyDescent="0.25">
      <c r="B14" s="104" t="s">
        <v>208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11"/>
      <c r="T14" s="111"/>
      <c r="U14" s="111"/>
      <c r="V14" s="111"/>
      <c r="W14" s="111"/>
      <c r="X14" s="111"/>
      <c r="Y14" s="111"/>
      <c r="Z14" s="111"/>
      <c r="AA14" s="101"/>
      <c r="AB14" s="101">
        <v>53.6</v>
      </c>
      <c r="AC14" s="101"/>
      <c r="AD14" s="102">
        <f t="shared" si="0"/>
        <v>53.6</v>
      </c>
      <c r="AE14" s="106">
        <f>AD14/AD19</f>
        <v>8.1122394926823344E-3</v>
      </c>
      <c r="AF14" s="104" t="s">
        <v>208</v>
      </c>
      <c r="AG14" s="97"/>
      <c r="AH14" s="97"/>
    </row>
    <row r="15" spans="2:34" x14ac:dyDescent="0.25">
      <c r="B15" s="104" t="s">
        <v>209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11"/>
      <c r="T15" s="111"/>
      <c r="U15" s="111"/>
      <c r="V15" s="111"/>
      <c r="W15" s="111"/>
      <c r="X15" s="111"/>
      <c r="Y15" s="111"/>
      <c r="Z15" s="111"/>
      <c r="AA15" s="101">
        <v>163.9</v>
      </c>
      <c r="AB15" s="101"/>
      <c r="AC15" s="101"/>
      <c r="AD15" s="102">
        <f t="shared" si="0"/>
        <v>163.9</v>
      </c>
      <c r="AE15" s="106">
        <f>AD15/AD19</f>
        <v>2.4805896508407366E-2</v>
      </c>
      <c r="AF15" s="104" t="s">
        <v>209</v>
      </c>
      <c r="AG15" s="97"/>
      <c r="AH15" s="97"/>
    </row>
    <row r="16" spans="2:34" x14ac:dyDescent="0.25">
      <c r="B16" s="104" t="s">
        <v>210</v>
      </c>
      <c r="C16" s="101"/>
      <c r="D16" s="101">
        <f>0.6+0.4</f>
        <v>1</v>
      </c>
      <c r="E16" s="101"/>
      <c r="F16" s="101"/>
      <c r="G16" s="101">
        <v>1296.4000000000001</v>
      </c>
      <c r="H16" s="101">
        <f>33.5+24.8</f>
        <v>58.3</v>
      </c>
      <c r="I16" s="101">
        <v>7.1</v>
      </c>
      <c r="J16" s="101"/>
      <c r="K16" s="101">
        <v>0.8</v>
      </c>
      <c r="L16" s="101">
        <v>24.3</v>
      </c>
      <c r="M16" s="101"/>
      <c r="N16" s="101"/>
      <c r="O16" s="101"/>
      <c r="P16" s="101"/>
      <c r="Q16" s="101"/>
      <c r="R16" s="101"/>
      <c r="S16" s="111">
        <f>3+3.3+22.7</f>
        <v>29</v>
      </c>
      <c r="T16" s="111">
        <f>3.3+6.7+20.6</f>
        <v>30.6</v>
      </c>
      <c r="U16" s="111">
        <f>3.9+0.1</f>
        <v>4</v>
      </c>
      <c r="V16" s="111"/>
      <c r="W16" s="111"/>
      <c r="X16" s="111">
        <v>10.3</v>
      </c>
      <c r="Y16" s="111">
        <f>0.2+14.2+2.6</f>
        <v>17</v>
      </c>
      <c r="Z16" s="111">
        <v>1.9</v>
      </c>
      <c r="AA16" s="101"/>
      <c r="AB16" s="101"/>
      <c r="AC16" s="101">
        <v>99.3</v>
      </c>
      <c r="AD16" s="102">
        <f t="shared" si="0"/>
        <v>1579.9999999999998</v>
      </c>
      <c r="AE16" s="106">
        <f>AD16/AD19</f>
        <v>0.23912944773205386</v>
      </c>
      <c r="AF16" s="104" t="s">
        <v>210</v>
      </c>
      <c r="AG16" s="97"/>
      <c r="AH16" s="97"/>
    </row>
    <row r="17" spans="2:34" x14ac:dyDescent="0.25">
      <c r="B17" s="104" t="s">
        <v>211</v>
      </c>
      <c r="C17" s="101"/>
      <c r="D17" s="101"/>
      <c r="E17" s="101">
        <f>1+0.9</f>
        <v>1.9</v>
      </c>
      <c r="F17" s="101"/>
      <c r="G17" s="101"/>
      <c r="H17" s="101">
        <f>3.7+2.1</f>
        <v>5.8000000000000007</v>
      </c>
      <c r="I17" s="101">
        <v>6</v>
      </c>
      <c r="J17" s="101"/>
      <c r="K17" s="101"/>
      <c r="L17" s="101"/>
      <c r="M17" s="101"/>
      <c r="N17" s="101"/>
      <c r="O17" s="101"/>
      <c r="P17" s="101">
        <v>0.1</v>
      </c>
      <c r="Q17" s="101"/>
      <c r="R17" s="101"/>
      <c r="S17" s="111">
        <v>0.1</v>
      </c>
      <c r="T17" s="111">
        <f>17.7+2.4</f>
        <v>20.099999999999998</v>
      </c>
      <c r="U17" s="111"/>
      <c r="V17" s="111">
        <v>10</v>
      </c>
      <c r="W17" s="111"/>
      <c r="X17" s="111"/>
      <c r="Y17" s="111"/>
      <c r="Z17" s="111">
        <v>0.1</v>
      </c>
      <c r="AA17" s="101"/>
      <c r="AB17" s="101"/>
      <c r="AC17" s="101"/>
      <c r="AD17" s="102">
        <f t="shared" si="0"/>
        <v>44.1</v>
      </c>
      <c r="AE17" s="106">
        <f>AD17/AD19</f>
        <v>6.6744358512554284E-3</v>
      </c>
      <c r="AF17" s="104" t="s">
        <v>211</v>
      </c>
      <c r="AG17" s="97"/>
      <c r="AH17" s="97"/>
    </row>
    <row r="18" spans="2:34" x14ac:dyDescent="0.25">
      <c r="B18" s="104" t="s">
        <v>212</v>
      </c>
      <c r="C18" s="101"/>
      <c r="D18" s="101">
        <v>4.7</v>
      </c>
      <c r="E18" s="101">
        <v>39.4</v>
      </c>
      <c r="F18" s="101">
        <v>0.1</v>
      </c>
      <c r="G18" s="101"/>
      <c r="H18" s="101">
        <v>5.2</v>
      </c>
      <c r="I18" s="101">
        <v>7.2</v>
      </c>
      <c r="J18" s="101">
        <v>0.3</v>
      </c>
      <c r="K18" s="101"/>
      <c r="L18" s="101">
        <v>5.6</v>
      </c>
      <c r="M18" s="101"/>
      <c r="N18" s="101"/>
      <c r="O18" s="101"/>
      <c r="P18" s="101"/>
      <c r="Q18" s="101"/>
      <c r="R18" s="101"/>
      <c r="S18" s="111">
        <v>19.7</v>
      </c>
      <c r="T18" s="111">
        <v>150</v>
      </c>
      <c r="U18" s="111">
        <v>21</v>
      </c>
      <c r="V18" s="101"/>
      <c r="W18" s="101"/>
      <c r="X18" s="101"/>
      <c r="Y18" s="111">
        <v>1.3</v>
      </c>
      <c r="Z18" s="111">
        <v>0.3</v>
      </c>
      <c r="AA18" s="101"/>
      <c r="AB18" s="101"/>
      <c r="AC18" s="101"/>
      <c r="AD18" s="102">
        <f t="shared" si="0"/>
        <v>254.8</v>
      </c>
      <c r="AE18" s="106">
        <f>AD18/AD19</f>
        <v>3.8563407140586925E-2</v>
      </c>
      <c r="AF18" s="104" t="s">
        <v>212</v>
      </c>
      <c r="AG18" s="97"/>
      <c r="AH18" s="97"/>
    </row>
    <row r="19" spans="2:34" s="6" customFormat="1" x14ac:dyDescent="0.25">
      <c r="B19" s="105" t="s">
        <v>261</v>
      </c>
      <c r="C19" s="102">
        <f>SUM(C2:C18)</f>
        <v>40</v>
      </c>
      <c r="D19" s="102">
        <f>SUM(D2:D18)</f>
        <v>69.8</v>
      </c>
      <c r="E19" s="102">
        <f>SUM(E2:E18)</f>
        <v>170</v>
      </c>
      <c r="F19" s="102">
        <f>SUM(F2:F18)</f>
        <v>17.400000000000002</v>
      </c>
      <c r="G19" s="102">
        <f t="shared" ref="G19:Z19" si="1">SUM(G2:G18)</f>
        <v>1296.4000000000001</v>
      </c>
      <c r="H19" s="102">
        <f t="shared" si="1"/>
        <v>234.7</v>
      </c>
      <c r="I19" s="102">
        <f t="shared" si="1"/>
        <v>24.5</v>
      </c>
      <c r="J19" s="102">
        <f t="shared" si="1"/>
        <v>114.2</v>
      </c>
      <c r="K19" s="102">
        <f t="shared" si="1"/>
        <v>1.5</v>
      </c>
      <c r="L19" s="102">
        <f t="shared" si="1"/>
        <v>49.800000000000004</v>
      </c>
      <c r="M19" s="102">
        <f t="shared" si="1"/>
        <v>74.7</v>
      </c>
      <c r="N19" s="102">
        <f t="shared" si="1"/>
        <v>1016.7</v>
      </c>
      <c r="O19" s="102">
        <f t="shared" si="1"/>
        <v>2232.3000000000002</v>
      </c>
      <c r="P19" s="102">
        <f t="shared" si="1"/>
        <v>0.1</v>
      </c>
      <c r="Q19" s="102">
        <f t="shared" si="1"/>
        <v>208.8</v>
      </c>
      <c r="R19" s="102">
        <f t="shared" si="1"/>
        <v>16.5</v>
      </c>
      <c r="S19" s="102">
        <f t="shared" si="1"/>
        <v>162.69999999999999</v>
      </c>
      <c r="T19" s="102">
        <f t="shared" si="1"/>
        <v>315.7</v>
      </c>
      <c r="U19" s="102">
        <f t="shared" si="1"/>
        <v>46.5</v>
      </c>
      <c r="V19" s="102">
        <f t="shared" si="1"/>
        <v>48.1</v>
      </c>
      <c r="W19" s="102">
        <f t="shared" si="1"/>
        <v>18.100000000000001</v>
      </c>
      <c r="X19" s="102">
        <f t="shared" si="1"/>
        <v>10.3</v>
      </c>
      <c r="Y19" s="102">
        <f t="shared" si="1"/>
        <v>46.3</v>
      </c>
      <c r="Z19" s="102">
        <f t="shared" si="1"/>
        <v>6.2</v>
      </c>
      <c r="AA19" s="102">
        <f t="shared" ref="AA19" si="2">SUM(AA2:AA18)</f>
        <v>163.9</v>
      </c>
      <c r="AB19" s="102">
        <f t="shared" ref="AB19" si="3">SUM(AB2:AB18)</f>
        <v>53.6</v>
      </c>
      <c r="AC19" s="102">
        <f t="shared" ref="AC19" si="4">SUM(AC2:AC18)</f>
        <v>168.5</v>
      </c>
      <c r="AD19" s="103">
        <f>SUM(C19:AC19)</f>
        <v>6607.3000000000011</v>
      </c>
      <c r="AE19" s="103"/>
      <c r="AF19" s="105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Таблица 1</vt:lpstr>
      <vt:lpstr>Таблица 2</vt:lpstr>
      <vt:lpstr>Таблица 3</vt:lpstr>
      <vt:lpstr>Таблица 4</vt:lpstr>
      <vt:lpstr>Таблица 5</vt:lpstr>
      <vt:lpstr>Прочее</vt:lpstr>
      <vt:lpstr>КОСГУ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Довгучиц</dc:creator>
  <cp:lastModifiedBy>Довгучиц</cp:lastModifiedBy>
  <cp:lastPrinted>2015-04-29T09:34:35Z</cp:lastPrinted>
  <dcterms:created xsi:type="dcterms:W3CDTF">2013-04-04T03:38:30Z</dcterms:created>
  <dcterms:modified xsi:type="dcterms:W3CDTF">2015-04-29T10:38:00Z</dcterms:modified>
</cp:coreProperties>
</file>